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codeName="ThisWorkbook" defaultThemeVersion="124226"/>
  <mc:AlternateContent xmlns:mc="http://schemas.openxmlformats.org/markup-compatibility/2006">
    <mc:Choice Requires="x15">
      <x15ac:absPath xmlns:x15ac="http://schemas.microsoft.com/office/spreadsheetml/2010/11/ac" url="S:\CRS\BCRC\Decision Making Tools\Merged Backgrounding Calculator\"/>
    </mc:Choice>
  </mc:AlternateContent>
  <xr:revisionPtr revIDLastSave="0" documentId="8_{5902D86F-5AA6-49E0-B122-0C715D34E66B}" xr6:coauthVersionLast="47" xr6:coauthVersionMax="47" xr10:uidLastSave="{00000000-0000-0000-0000-000000000000}"/>
  <bookViews>
    <workbookView xWindow="28680" yWindow="-120" windowWidth="29040" windowHeight="15720" xr2:uid="{00000000-000D-0000-FFFF-FFFF00000000}"/>
  </bookViews>
  <sheets>
    <sheet name="Backgrounding" sheetId="9" r:id="rId1"/>
    <sheet name="Database" sheetId="13" r:id="rId2"/>
  </sheets>
  <externalReferences>
    <externalReference r:id="rId3"/>
  </externalReferences>
  <definedNames>
    <definedName name="_xlnm.Print_Area" localSheetId="0">Backgrounding!$A$1:$H$106</definedName>
    <definedName name="units">[1]Sheet1!$B$150:$B$151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9" l="1"/>
  <c r="G33" i="9"/>
  <c r="F33" i="9"/>
  <c r="E33" i="9"/>
  <c r="I1" i="13"/>
  <c r="J3" i="13" l="1" a="1"/>
  <c r="J3" i="13" s="1"/>
  <c r="K50" i="9"/>
  <c r="K40" i="9"/>
  <c r="K39" i="9"/>
  <c r="J71" i="9"/>
  <c r="J6" i="13" l="1" a="1"/>
  <c r="J6" i="13" s="1"/>
  <c r="K14" i="13" l="1" a="1"/>
  <c r="K14" i="13" s="1"/>
  <c r="M3" i="13" a="1"/>
  <c r="M3" i="13" s="1"/>
  <c r="L5" i="13" a="1"/>
  <c r="L5" i="13" s="1"/>
  <c r="L4" i="13" a="1"/>
  <c r="L4" i="13" s="1"/>
  <c r="M11" i="13" a="1"/>
  <c r="M11" i="13" s="1"/>
  <c r="M6" i="13" a="1"/>
  <c r="M6" i="13" s="1"/>
  <c r="N5" i="13" a="1"/>
  <c r="N5" i="13" s="1"/>
  <c r="K13" i="13" a="1"/>
  <c r="K13" i="13" s="1"/>
  <c r="M14" i="13" a="1"/>
  <c r="M14" i="13" s="1"/>
  <c r="K8" i="13" a="1"/>
  <c r="K8" i="13" s="1"/>
  <c r="N13" i="13" a="1"/>
  <c r="N13" i="13" s="1"/>
  <c r="L10" i="13" a="1"/>
  <c r="L10" i="13" s="1"/>
  <c r="N8" i="13" a="1"/>
  <c r="N8" i="13" s="1"/>
  <c r="L8" i="13" a="1"/>
  <c r="L8" i="13" s="1"/>
  <c r="N7" i="13" a="1"/>
  <c r="N7" i="13" s="1"/>
  <c r="J4" i="13" a="1"/>
  <c r="J4" i="13" s="1"/>
  <c r="K12" i="13" a="1"/>
  <c r="K12" i="13" s="1"/>
  <c r="K7" i="13" a="1"/>
  <c r="K7" i="13" s="1"/>
  <c r="L14" i="13" a="1"/>
  <c r="L14" i="13" s="1"/>
  <c r="L9" i="13" a="1"/>
  <c r="L9" i="13" s="1"/>
  <c r="L3" i="13" a="1"/>
  <c r="L3" i="13" s="1"/>
  <c r="M13" i="13" a="1"/>
  <c r="M13" i="13" s="1"/>
  <c r="N10" i="13" a="1"/>
  <c r="N10" i="13" s="1"/>
  <c r="M8" i="13" a="1"/>
  <c r="M8" i="13" s="1"/>
  <c r="M5" i="13" a="1"/>
  <c r="M5" i="13" s="1"/>
  <c r="J5" i="13" a="1"/>
  <c r="J5" i="13" s="1"/>
  <c r="K11" i="13" a="1"/>
  <c r="K11" i="13" s="1"/>
  <c r="K6" i="13" a="1"/>
  <c r="K6" i="13" s="1"/>
  <c r="L13" i="13" a="1"/>
  <c r="L13" i="13" s="1"/>
  <c r="L7" i="13" a="1"/>
  <c r="L7" i="13" s="1"/>
  <c r="N12" i="13" a="1"/>
  <c r="N12" i="13" s="1"/>
  <c r="M10" i="13" a="1"/>
  <c r="M10" i="13" s="1"/>
  <c r="M7" i="13" a="1"/>
  <c r="M7" i="13" s="1"/>
  <c r="N4" i="13" a="1"/>
  <c r="N4" i="13" s="1"/>
  <c r="K5" i="13" a="1"/>
  <c r="K5" i="13" s="1"/>
  <c r="L12" i="13" a="1"/>
  <c r="L12" i="13" s="1"/>
  <c r="N9" i="13" a="1"/>
  <c r="N9" i="13" s="1"/>
  <c r="K3" i="13" a="1"/>
  <c r="K3" i="13" s="1"/>
  <c r="K10" i="13" a="1"/>
  <c r="K10" i="13" s="1"/>
  <c r="K4" i="13" a="1"/>
  <c r="K4" i="13" s="1"/>
  <c r="L11" i="13" a="1"/>
  <c r="L11" i="13" s="1"/>
  <c r="L6" i="13" a="1"/>
  <c r="L6" i="13" s="1"/>
  <c r="N14" i="13" a="1"/>
  <c r="N14" i="13" s="1"/>
  <c r="M12" i="13" a="1"/>
  <c r="M12" i="13" s="1"/>
  <c r="M9" i="13" a="1"/>
  <c r="M9" i="13" s="1"/>
  <c r="N6" i="13" a="1"/>
  <c r="N6" i="13" s="1"/>
  <c r="M4" i="13" a="1"/>
  <c r="M4" i="13" s="1"/>
  <c r="K9" i="13" a="1"/>
  <c r="K9" i="13" s="1"/>
  <c r="N11" i="13" a="1"/>
  <c r="N11" i="13" s="1"/>
  <c r="N3" i="13" a="1"/>
  <c r="N3" i="13" s="1"/>
  <c r="J8" i="13" a="1"/>
  <c r="J8" i="13" s="1"/>
  <c r="J7" i="13" a="1"/>
  <c r="J7" i="13" s="1"/>
  <c r="J14" i="13" a="1"/>
  <c r="J14" i="13" s="1"/>
  <c r="J13" i="13" a="1"/>
  <c r="J13" i="13" s="1"/>
  <c r="J12" i="13" a="1"/>
  <c r="J12" i="13" s="1"/>
  <c r="J10" i="13" a="1"/>
  <c r="J10" i="13" s="1"/>
  <c r="J9" i="13" a="1"/>
  <c r="J9" i="13" s="1"/>
  <c r="J11" i="13" a="1"/>
  <c r="J11" i="13" s="1"/>
  <c r="S39" i="9" l="1"/>
  <c r="R39" i="9"/>
  <c r="Q39" i="9"/>
  <c r="P39" i="9"/>
  <c r="P40" i="9" l="1"/>
  <c r="L50" i="9"/>
  <c r="M50" i="9"/>
  <c r="N50" i="9"/>
  <c r="N49" i="9"/>
  <c r="M49" i="9"/>
  <c r="R50" i="9" s="1"/>
  <c r="L49" i="9"/>
  <c r="Q50" i="9" s="1"/>
  <c r="K49" i="9"/>
  <c r="P50" i="9" s="1"/>
  <c r="L44" i="9"/>
  <c r="M44" i="9"/>
  <c r="N44" i="9"/>
  <c r="K44" i="9"/>
  <c r="K42" i="9"/>
  <c r="L42" i="9"/>
  <c r="M42" i="9"/>
  <c r="N42" i="9"/>
  <c r="L40" i="9"/>
  <c r="M40" i="9"/>
  <c r="N40" i="9"/>
  <c r="N39" i="9"/>
  <c r="S40" i="9" s="1"/>
  <c r="L39" i="9"/>
  <c r="M39" i="9"/>
  <c r="E47" i="9"/>
  <c r="F47" i="9" s="1"/>
  <c r="G47" i="9" s="1"/>
  <c r="H47" i="9" s="1"/>
  <c r="E45" i="9"/>
  <c r="F45" i="9" s="1"/>
  <c r="G45" i="9" s="1"/>
  <c r="H45" i="9" s="1"/>
  <c r="H43" i="9"/>
  <c r="N43" i="9" s="1"/>
  <c r="S44" i="9" s="1"/>
  <c r="G43" i="9"/>
  <c r="M43" i="9" s="1"/>
  <c r="R44" i="9" s="1"/>
  <c r="F43" i="9"/>
  <c r="L43" i="9" s="1"/>
  <c r="Q44" i="9" s="1"/>
  <c r="E43" i="9"/>
  <c r="H39" i="9"/>
  <c r="G39" i="9"/>
  <c r="F39" i="9"/>
  <c r="E39" i="9"/>
  <c r="F29" i="9"/>
  <c r="G29" i="9"/>
  <c r="H29" i="9"/>
  <c r="E29" i="9"/>
  <c r="E84" i="9"/>
  <c r="E41" i="9"/>
  <c r="K41" i="9" s="1"/>
  <c r="E49" i="9"/>
  <c r="E17" i="9"/>
  <c r="H84" i="9"/>
  <c r="G84" i="9"/>
  <c r="F84" i="9"/>
  <c r="C86" i="9"/>
  <c r="E16" i="9"/>
  <c r="E28" i="9" s="1"/>
  <c r="E74" i="9" s="1"/>
  <c r="F41" i="9"/>
  <c r="L41" i="9" s="1"/>
  <c r="Q42" i="9" s="1"/>
  <c r="G49" i="9"/>
  <c r="H49" i="9"/>
  <c r="F49" i="9"/>
  <c r="G41" i="9"/>
  <c r="M41" i="9" s="1"/>
  <c r="H41" i="9"/>
  <c r="N41" i="9" s="1"/>
  <c r="S42" i="9" s="1"/>
  <c r="E32" i="9" l="1"/>
  <c r="E31" i="9" s="1"/>
  <c r="H32" i="9"/>
  <c r="H35" i="9" s="1"/>
  <c r="G32" i="9"/>
  <c r="G35" i="9" s="1"/>
  <c r="F32" i="9"/>
  <c r="F31" i="9" s="1"/>
  <c r="K43" i="9"/>
  <c r="P44" i="9" s="1"/>
  <c r="S50" i="9"/>
  <c r="R42" i="9"/>
  <c r="R40" i="9"/>
  <c r="Q40" i="9"/>
  <c r="P42" i="9"/>
  <c r="E19" i="9"/>
  <c r="E21" i="9" s="1"/>
  <c r="G28" i="9"/>
  <c r="H28" i="9"/>
  <c r="F28" i="9"/>
  <c r="E35" i="9" l="1"/>
  <c r="E71" i="9" s="1"/>
  <c r="E73" i="9" s="1"/>
  <c r="G74" i="9"/>
  <c r="N74" i="9"/>
  <c r="O74" i="9"/>
  <c r="H74" i="9"/>
  <c r="F74" i="9"/>
  <c r="M74" i="9"/>
  <c r="L74" i="9"/>
  <c r="F35" i="9"/>
  <c r="F71" i="9" s="1"/>
  <c r="K45" i="9"/>
  <c r="E75" i="9" l="1"/>
  <c r="E85" i="9"/>
  <c r="N45" i="9"/>
  <c r="S46" i="9" s="1"/>
  <c r="M45" i="9"/>
  <c r="R46" i="9" s="1"/>
  <c r="K46" i="9"/>
  <c r="L45" i="9"/>
  <c r="P46" i="9"/>
  <c r="N46" i="9"/>
  <c r="M46" i="9"/>
  <c r="L46" i="9"/>
  <c r="G85" i="9"/>
  <c r="H85" i="9"/>
  <c r="F85" i="9"/>
  <c r="Q46" i="9" l="1"/>
  <c r="G31" i="9"/>
  <c r="H31" i="9" l="1"/>
  <c r="H71" i="9"/>
  <c r="H75" i="9" s="1"/>
  <c r="F75" i="9"/>
  <c r="G71" i="9"/>
  <c r="G75" i="9" s="1"/>
  <c r="G73" i="9" l="1"/>
  <c r="H73" i="9"/>
  <c r="F73" i="9"/>
  <c r="E76" i="9"/>
  <c r="H76" i="9" l="1"/>
  <c r="H77" i="9" s="1"/>
  <c r="H79" i="9" s="1"/>
  <c r="K47" i="9"/>
  <c r="E51" i="9"/>
  <c r="G76" i="9"/>
  <c r="G77" i="9" s="1"/>
  <c r="G79" i="9" s="1"/>
  <c r="F76" i="9"/>
  <c r="F77" i="9" s="1"/>
  <c r="F79" i="9" s="1"/>
  <c r="E77" i="9"/>
  <c r="E79" i="9" s="1"/>
  <c r="E86" i="9" s="1"/>
  <c r="E87" i="9" l="1"/>
  <c r="E89" i="9" s="1"/>
  <c r="E90" i="9" s="1"/>
  <c r="K48" i="9"/>
  <c r="K52" i="9" s="1"/>
  <c r="L48" i="9"/>
  <c r="L52" i="9" s="1"/>
  <c r="L47" i="9"/>
  <c r="F51" i="9"/>
  <c r="G86" i="9"/>
  <c r="M48" i="9"/>
  <c r="M52" i="9" s="1"/>
  <c r="M47" i="9"/>
  <c r="G51" i="9"/>
  <c r="H86" i="9"/>
  <c r="N48" i="9"/>
  <c r="N52" i="9" s="1"/>
  <c r="N47" i="9"/>
  <c r="H51" i="9"/>
  <c r="F86" i="9"/>
  <c r="E88" i="9" l="1"/>
  <c r="S48" i="9"/>
  <c r="Q48" i="9"/>
  <c r="P48" i="9"/>
  <c r="R48" i="9"/>
  <c r="K51" i="9"/>
  <c r="P52" i="9" s="1"/>
  <c r="E52" i="9"/>
  <c r="F87" i="9"/>
  <c r="F89" i="9" s="1"/>
  <c r="F90" i="9" s="1"/>
  <c r="F52" i="9"/>
  <c r="H87" i="9"/>
  <c r="H89" i="9" s="1"/>
  <c r="H90" i="9" s="1"/>
  <c r="H52" i="9"/>
  <c r="G87" i="9"/>
  <c r="G89" i="9" s="1"/>
  <c r="G90" i="9" s="1"/>
  <c r="G52" i="9"/>
  <c r="M51" i="9"/>
  <c r="R52" i="9" s="1"/>
  <c r="N51" i="9"/>
  <c r="S52" i="9" s="1"/>
  <c r="L51" i="9"/>
  <c r="Q52" i="9" s="1"/>
  <c r="H88" i="9" l="1"/>
  <c r="F88" i="9"/>
  <c r="G8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tc={B1FE97C1-5582-4694-9EDC-6E2CD3D32F1A}</author>
    <author>Huiting Huang</author>
    <author>tc={E2871733-8917-4308-AB91-DDADA64CDA7E}</author>
    <author>tc={C59FB7B0-51FC-4302-AED1-5CC39E661F81}</author>
  </authors>
  <commentList>
    <comment ref="E29" authorId="0" shapeId="0" xr:uid="{B1FE97C1-5582-4694-9EDC-6E2CD3D32F1A}">
      <text>
        <t xml:space="preserve">[Threaded comment]
Your version of Excel allows you to read this threaded comment; however, any edits to it will get removed if the file is opened in a newer version of Excel. Learn more: https://go.microsoft.com/fwlink/?linkid=870924
Comment:
    Does it matter that some of these that depend on the check box have an IF formula and some don't?
Reply:
    It doesn’t affect the result, but I changed formulas in line 33 to be consistent. </t>
      </text>
    </comment>
    <comment ref="J71" authorId="1" shapeId="0" xr:uid="{5DE0FCDF-714E-4B62-893E-BAE74B9860FA}">
      <text>
        <r>
          <rPr>
            <b/>
            <sz val="9"/>
            <color indexed="81"/>
            <rFont val="Tahoma"/>
            <family val="2"/>
          </rPr>
          <t>Huiting Huang:</t>
        </r>
        <r>
          <rPr>
            <sz val="9"/>
            <color indexed="81"/>
            <rFont val="Tahoma"/>
            <family val="2"/>
          </rPr>
          <t xml:space="preserve">
link to D72</t>
        </r>
      </text>
    </comment>
    <comment ref="K71" authorId="1" shapeId="0" xr:uid="{744E93D5-EB07-4F4F-9E38-00739C0CB838}">
      <text>
        <r>
          <rPr>
            <b/>
            <sz val="9"/>
            <color indexed="81"/>
            <rFont val="Tahoma"/>
            <family val="2"/>
          </rPr>
          <t>Huiting Huang:</t>
        </r>
        <r>
          <rPr>
            <sz val="9"/>
            <color indexed="81"/>
            <rFont val="Tahoma"/>
            <family val="2"/>
          </rPr>
          <t xml:space="preserve">
link to cell D72</t>
        </r>
      </text>
    </comment>
    <comment ref="L74" authorId="1" shapeId="0" xr:uid="{AF300782-CA34-4E41-9811-8198A18FB7F5}">
      <text>
        <r>
          <rPr>
            <b/>
            <sz val="9"/>
            <color indexed="81"/>
            <rFont val="Tahoma"/>
            <family val="2"/>
          </rPr>
          <t>Huiting Huang:</t>
        </r>
        <r>
          <rPr>
            <sz val="9"/>
            <color indexed="81"/>
            <rFont val="Tahoma"/>
            <family val="2"/>
          </rPr>
          <t xml:space="preserve">
link to sale month in line 74</t>
        </r>
      </text>
    </comment>
    <comment ref="M74" authorId="1" shapeId="0" xr:uid="{19EDB046-F784-4DB4-AA5F-1BEE0474884B}">
      <text>
        <r>
          <rPr>
            <b/>
            <sz val="9"/>
            <color indexed="81"/>
            <rFont val="Tahoma"/>
            <family val="2"/>
          </rPr>
          <t>Huiting Huang:</t>
        </r>
        <r>
          <rPr>
            <sz val="9"/>
            <color indexed="81"/>
            <rFont val="Tahoma"/>
            <family val="2"/>
          </rPr>
          <t xml:space="preserve">
link to sale month in line 74</t>
        </r>
      </text>
    </comment>
    <comment ref="N74" authorId="1" shapeId="0" xr:uid="{E3C6D83B-AFEC-4072-A420-0F8D0E1AE0BF}">
      <text>
        <r>
          <rPr>
            <b/>
            <sz val="9"/>
            <color indexed="81"/>
            <rFont val="Tahoma"/>
            <family val="2"/>
          </rPr>
          <t>Huiting Huang:</t>
        </r>
        <r>
          <rPr>
            <sz val="9"/>
            <color indexed="81"/>
            <rFont val="Tahoma"/>
            <family val="2"/>
          </rPr>
          <t xml:space="preserve">
link to sale month in line 74</t>
        </r>
      </text>
    </comment>
    <comment ref="O74" authorId="1" shapeId="0" xr:uid="{11006D16-6E19-40BE-923A-95056ED14873}">
      <text>
        <r>
          <rPr>
            <b/>
            <sz val="9"/>
            <color indexed="81"/>
            <rFont val="Tahoma"/>
            <family val="2"/>
          </rPr>
          <t>Huiting Huang:</t>
        </r>
        <r>
          <rPr>
            <sz val="9"/>
            <color indexed="81"/>
            <rFont val="Tahoma"/>
            <family val="2"/>
          </rPr>
          <t xml:space="preserve">
link to sale month in line 74</t>
        </r>
      </text>
    </comment>
    <comment ref="D77" authorId="2" shapeId="0" xr:uid="{E2871733-8917-4308-AB91-DDADA64CDA7E}">
      <text>
        <t>[Threaded comment]
Your version of Excel allows you to read this threaded comment; however, any edits to it will get removed if the file is opened in a newer version of Excel. Learn more: https://go.microsoft.com/fwlink/?linkid=870924
Comment:
    When should a producer use the prices above compared to the price projection? They can create very different net returns so it might be helpful to know why to choose one or the other.
Reply:
    Added</t>
      </text>
    </comment>
    <comment ref="H92" authorId="3" shapeId="0" xr:uid="{C59FB7B0-51FC-4302-AED1-5CC39E661F81}">
      <text>
        <t>[Threaded comment]
Your version of Excel allows you to read this threaded comment; however, any edits to it will get removed if the file is opened in a newer version of Excel. Learn more: https://go.microsoft.com/fwlink/?linkid=870924
Comment:
    I changed the colours so the bars were the same colour for the same variable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<sst xmlns="http://schemas.openxmlformats.org/spreadsheetml/2006/main" count="124" uniqueCount="88">
  <si>
    <t>Preconditioning &amp; Backgrounding Calculator</t>
  </si>
  <si>
    <t xml:space="preserve">Decision Making Tool </t>
  </si>
  <si>
    <t>This calculator is designed to project net returns from preconditioning or backgrounding compared to selling cattle at weaning.</t>
  </si>
  <si>
    <t>Enter information in the yellow highlighted cells, instructions are in orange cells.</t>
  </si>
  <si>
    <t>1. General Information</t>
  </si>
  <si>
    <t>- Select your region from the drop-down list
- In the yellow cells, enter weaning date and weaning weight</t>
  </si>
  <si>
    <t>drop-down list for cell E9</t>
  </si>
  <si>
    <t>Region (select from drop-down list)</t>
  </si>
  <si>
    <t>AB</t>
  </si>
  <si>
    <t>BC</t>
  </si>
  <si>
    <t>Weaning Date (dd-mmm-yyyy)</t>
  </si>
  <si>
    <t>Weaning weight (lbs.)</t>
  </si>
  <si>
    <t>SK</t>
  </si>
  <si>
    <t>MB</t>
  </si>
  <si>
    <t>ON</t>
  </si>
  <si>
    <t>2. Sell at Weaning</t>
  </si>
  <si>
    <t>QC</t>
  </si>
  <si>
    <t>- In the yellow cells  - enter shrink% and your projection of calf price at the estimated marketing time
- Gross revenue under traditional management will be calculated automatically</t>
  </si>
  <si>
    <t>Marketing time</t>
  </si>
  <si>
    <t>Marketing weight (lbs.)</t>
  </si>
  <si>
    <t>Shrink (%)</t>
  </si>
  <si>
    <t>Pay weight (lbs.)</t>
  </si>
  <si>
    <t>Projected Price ($/cwt.)</t>
  </si>
  <si>
    <t>Gross Revenue ($/head)</t>
  </si>
  <si>
    <t>3. Precondition/Backgrounding Program</t>
  </si>
  <si>
    <t xml:space="preserve">-  Check the box in green cell if use same animal performance and cost figures for all feeding period scenarios
- In the yellow cells - enter the length of backgrounding period, target ADG (average daily gains) and projected Shrink %
- Marketing time and weights will be calculated automatically
</t>
  </si>
  <si>
    <t>use same ADG and Shrink % for all scenarios</t>
  </si>
  <si>
    <t>Backgrounding Period (Days)</t>
  </si>
  <si>
    <t>Projected Sale Date</t>
  </si>
  <si>
    <t>ADG (lbs./day)</t>
  </si>
  <si>
    <t>conditional formatting</t>
  </si>
  <si>
    <t>Weight gain (lbs./head)</t>
  </si>
  <si>
    <t>Marketing weight (lbs./head)</t>
  </si>
  <si>
    <t>Preconditioning/Backgrounding Costs</t>
  </si>
  <si>
    <t>- Check the box in green cell if use same cost figures for all feeding period scenarios
- In the yellow cells, enter backgrounding costs; total backgrounding costs per head, and cost per head per day will be calculated automatically
- The breakdown of cost per head, and cost composition for each scenario are show in the pie charts below</t>
  </si>
  <si>
    <t>Numbers used for pie charts</t>
  </si>
  <si>
    <t>use same cost figures for all scenarios</t>
  </si>
  <si>
    <t xml:space="preserve">Backgrounding cost $/hd </t>
  </si>
  <si>
    <t>Feed, hay, and pasture ($/day/head)</t>
  </si>
  <si>
    <t>Feed</t>
  </si>
  <si>
    <t>Medicine and veterinary care ($/head)</t>
  </si>
  <si>
    <t>Vet &amp; Med</t>
  </si>
  <si>
    <t>Yardage (labour and equipment) ($/day/head)</t>
  </si>
  <si>
    <t>Yardage</t>
  </si>
  <si>
    <t>Interest rate (%)</t>
  </si>
  <si>
    <t>Interest</t>
  </si>
  <si>
    <t>Death loss (%)</t>
  </si>
  <si>
    <t>Death Loss</t>
  </si>
  <si>
    <t>Additional marketing costs (tags, commission, etc.) ($/hd)</t>
  </si>
  <si>
    <t>Marketing</t>
  </si>
  <si>
    <t>Total Backgrounding Cost ($/head)</t>
  </si>
  <si>
    <t>Total Backgrounding Cost ($/head/day)</t>
  </si>
  <si>
    <t>4. Projected Price after Preconditioning/Backgrounding</t>
  </si>
  <si>
    <r>
      <t xml:space="preserve">- This section projects future feeder prices for sale weights by indexing current prices using price seasonality (5-year index). In the yellow cells, choose the most current month of price data available from the drop-down list 
- Enter current prices for weight categories in the above line (this could be the latest monthly average prices known when making decision)
- Projected prices based on a 5-year (2019-23) seasonal index will be automatically calculated (blue cells), you can choose to use these projected prices or enter your own projection
- </t>
    </r>
    <r>
      <rPr>
        <b/>
        <i/>
        <sz val="12"/>
        <rFont val="Arial"/>
        <family val="2"/>
      </rPr>
      <t>To use the seasonally adjusted price as the sale price:</t>
    </r>
    <r>
      <rPr>
        <i/>
        <sz val="12"/>
        <rFont val="Arial"/>
        <family val="2"/>
      </rPr>
      <t xml:space="preserve"> </t>
    </r>
    <r>
      <rPr>
        <i/>
        <u/>
        <sz val="12"/>
        <rFont val="Arial"/>
        <family val="2"/>
      </rPr>
      <t>Check</t>
    </r>
    <r>
      <rPr>
        <i/>
        <sz val="12"/>
        <rFont val="Arial"/>
        <family val="2"/>
      </rPr>
      <t xml:space="preserve"> the box in green cell. This option automatically applies prices based on historical seasonal trends. 
- </t>
    </r>
    <r>
      <rPr>
        <b/>
        <i/>
        <sz val="12"/>
        <rFont val="Arial"/>
        <family val="2"/>
      </rPr>
      <t>To enter your own projected sale price:</t>
    </r>
    <r>
      <rPr>
        <i/>
        <sz val="12"/>
        <rFont val="Arial"/>
        <family val="2"/>
      </rPr>
      <t xml:space="preserve"> </t>
    </r>
    <r>
      <rPr>
        <i/>
        <u/>
        <sz val="12"/>
        <rFont val="Arial"/>
        <family val="2"/>
      </rPr>
      <t>Uncheck</t>
    </r>
    <r>
      <rPr>
        <i/>
        <sz val="12"/>
        <rFont val="Arial"/>
        <family val="2"/>
      </rPr>
      <t xml:space="preserve"> the box in green cell to enter your own projected sale price in the yellow cells</t>
    </r>
    <r>
      <rPr>
        <sz val="12"/>
        <rFont val="Arial"/>
        <family val="2"/>
      </rPr>
      <t xml:space="preserve">. </t>
    </r>
    <r>
      <rPr>
        <i/>
        <sz val="12"/>
        <rFont val="Arial"/>
        <family val="2"/>
      </rPr>
      <t xml:space="preserve">This option is suitable when you expect market prices to differ from typical seasonal patterns, such as when forecasting a counter-seasonal trend.
- For more information on </t>
    </r>
    <r>
      <rPr>
        <b/>
        <i/>
        <sz val="12"/>
        <rFont val="Arial"/>
        <family val="2"/>
      </rPr>
      <t>price projection</t>
    </r>
    <r>
      <rPr>
        <i/>
        <sz val="12"/>
        <rFont val="Arial"/>
        <family val="2"/>
      </rPr>
      <t xml:space="preserve"> and </t>
    </r>
    <r>
      <rPr>
        <b/>
        <i/>
        <sz val="12"/>
        <rFont val="Arial"/>
        <family val="2"/>
      </rPr>
      <t>livestock price insurance coverage</t>
    </r>
    <r>
      <rPr>
        <i/>
        <sz val="12"/>
        <rFont val="Arial"/>
        <family val="2"/>
      </rPr>
      <t xml:space="preserve">, check out the free Canfax app CFX Pro at </t>
    </r>
    <r>
      <rPr>
        <i/>
        <u/>
        <sz val="12"/>
        <rFont val="Arial"/>
        <family val="2"/>
      </rPr>
      <t>https://cfxproapp.canfax.ca</t>
    </r>
    <r>
      <rPr>
        <i/>
        <sz val="12"/>
        <rFont val="Arial"/>
        <family val="2"/>
      </rPr>
      <t xml:space="preserve">
</t>
    </r>
  </si>
  <si>
    <t>drop-down list for cell D72</t>
  </si>
  <si>
    <t>Jan</t>
  </si>
  <si>
    <r>
      <t>Month of Price Used ($/cwt)</t>
    </r>
    <r>
      <rPr>
        <sz val="11"/>
        <rFont val="Arial"/>
        <family val="2"/>
      </rPr>
      <t xml:space="preserve"> (select from drop-down list)</t>
    </r>
  </si>
  <si>
    <t>Aug</t>
  </si>
  <si>
    <t>Feb</t>
  </si>
  <si>
    <t>Index of base month</t>
  </si>
  <si>
    <t>Mar</t>
  </si>
  <si>
    <t>Sale Month</t>
  </si>
  <si>
    <t>Apr</t>
  </si>
  <si>
    <t>Index of sale month</t>
  </si>
  <si>
    <t>May</t>
  </si>
  <si>
    <r>
      <t xml:space="preserve">Projected Sale Price Seasonally adjusted  </t>
    </r>
    <r>
      <rPr>
        <b/>
        <i/>
        <sz val="12"/>
        <rFont val="Arial"/>
        <family val="2"/>
      </rPr>
      <t>($/cwt)</t>
    </r>
  </si>
  <si>
    <t>Jun</t>
  </si>
  <si>
    <t>Your projected sale price</t>
  </si>
  <si>
    <t xml:space="preserve">  Use prices above</t>
  </si>
  <si>
    <t>Jul</t>
  </si>
  <si>
    <t>Canfax Price Projection App</t>
  </si>
  <si>
    <t>Backgrounding Gross Revenue ($/head)</t>
  </si>
  <si>
    <t>Sep</t>
  </si>
  <si>
    <t>Oct</t>
  </si>
  <si>
    <t>Nov</t>
  </si>
  <si>
    <t>5. Results</t>
  </si>
  <si>
    <t>Dec</t>
  </si>
  <si>
    <t>- Gross revenues at weaning, total backgrounding costs and backgrounding gross revenue are calculated in Step 2 to 4
- Net return from backgrounding is calculated as additional revenue from backgrounding versus sell at weaning less total backgrounding cost
- Estimated breakeven price is the price needed to breakeven on backgrounding</t>
  </si>
  <si>
    <t>Gross Revenue at Weaning ($/head)</t>
  </si>
  <si>
    <t>Total Backgrounding Cost</t>
  </si>
  <si>
    <t>Please note that the "Database" sheet and "sheet 2" are hidden</t>
  </si>
  <si>
    <t>Net Return from Backgrounding vs.Sell at Weaning($/head)</t>
  </si>
  <si>
    <t xml:space="preserve">Breakeven Selling Prices ($/head) </t>
  </si>
  <si>
    <t>Breakeven Selling Prices ($/cwt)</t>
  </si>
  <si>
    <t>Seasonality 5-yr Index on Steers (2019-23)</t>
  </si>
  <si>
    <t>June</t>
  </si>
  <si>
    <t>July</t>
  </si>
  <si>
    <t>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</si>
</sst>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_-&quot;$&quot;* #,##0.00_-;\-&quot;$&quot;* #,##0.00_-;_-&quot;$&quot;* &quot;-&quot;??_-;_-@_-"/>
    <numFmt numFmtId="165" formatCode="0.0%"/>
    <numFmt numFmtId="166" formatCode="&quot;$&quot;#,##0.00"/>
    <numFmt numFmtId="167" formatCode="[$-409]d\-mmm\-yy;@"/>
    <numFmt numFmtId="168" formatCode="0.0000"/>
    <numFmt numFmtId="169" formatCode="0.0"/>
    <numFmt numFmtId="170" formatCode="&quot;$&quot;#,##0"/>
    <numFmt numFmtId="171" formatCode="0.000"/>
    <numFmt numFmtId="172" formatCode="mmm"/>
    <numFmt numFmtId="173" formatCode="[$-409]d/mmm/yyyy;@"/>
  </numFmts>
  <fonts count="25">
    <font>
      <sz val="10"/>
      <name val="Arial"/>
    </font>
    <font>
      <sz val="10"/>
      <name val="Arial"/>
      <family val="2"/>
    </font>
    <font>
      <b/>
      <sz val="10"/>
      <name val="Arial"/>
      <family val="2"/>
    </font>
    <font>
      <sz val="10"/>
      <name val="Arial"/>
      <family val="2"/>
    </font>
    <font>
      <u/>
      <sz val="10"/>
      <color indexed="12"/>
      <name val="Arial"/>
      <family val="2"/>
    </font>
    <font>
      <b/>
      <sz val="14"/>
      <name val="Arial"/>
      <family val="2"/>
    </font>
    <font>
      <b/>
      <sz val="12"/>
      <name val="Arial"/>
      <family val="2"/>
    </font>
    <font>
      <b/>
      <sz val="16"/>
      <name val="Arial"/>
      <family val="2"/>
    </font>
    <font>
      <sz val="12"/>
      <name val="Arial"/>
      <family val="2"/>
    </font>
    <font>
      <i/>
      <sz val="12"/>
      <name val="Arial"/>
      <family val="2"/>
    </font>
    <font>
      <b/>
      <i/>
      <sz val="12"/>
      <name val="Arial"/>
      <family val="2"/>
    </font>
    <font>
      <sz val="14"/>
      <color theme="1"/>
      <name val="Calibri"/>
      <family val="2"/>
      <scheme val="minor"/>
    </font>
    <font>
      <b/>
      <sz val="14"/>
      <color theme="1"/>
      <name val="Calibri"/>
      <family val="2"/>
      <scheme val="minor"/>
    </font>
    <font>
      <sz val="12"/>
      <color theme="0"/>
      <name val="Arial"/>
      <family val="2"/>
    </font>
    <font>
      <sz val="12"/>
      <color rgb="FFFF0000"/>
      <name val="Arial"/>
      <family val="2"/>
    </font>
    <font>
      <sz val="10"/>
      <color rgb="FFFF0000"/>
      <name val="Arial"/>
      <family val="2"/>
    </font>
    <font>
      <b/>
      <sz val="12"/>
      <color theme="1"/>
      <name val="Arial"/>
      <family val="2"/>
    </font>
    <font>
      <i/>
      <sz val="14"/>
      <name val="Arial"/>
      <family val="2"/>
    </font>
    <font>
      <sz val="8"/>
      <name val="Arial"/>
      <family val="2"/>
    </font>
    <font>
      <sz val="12"/>
      <color theme="1"/>
      <name val="Arial"/>
      <family val="2"/>
    </font>
    <font>
      <i/>
      <sz val="11"/>
      <name val="Arial"/>
      <family val="2"/>
    </font>
    <font>
      <sz val="11"/>
      <name val="Arial"/>
      <family val="2"/>
    </font>
    <font>
      <i/>
      <u/>
      <sz val="12"/>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rgb="FFCCECFF"/>
        <bgColor indexed="64"/>
      </patternFill>
    </fill>
    <fill>
      <patternFill patternType="solid">
        <fgColor theme="3" tint="0.7999816888943144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9">
    <xf numFmtId="0" fontId="0"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9" fontId="1" fillId="0" borderId="0" applyFont="0" applyFill="0" applyBorder="0" applyAlignment="0" applyProtection="0"/>
    <xf numFmtId="9" fontId="3"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cellStyleXfs>
  <cellXfs count="216">
    <xf numFmtId="0" fontId="0" fillId="0" borderId="0" xfId="0"/>
    <xf numFmtId="0" fontId="11" fillId="0" borderId="0" xfId="0" applyFont="1"/>
    <xf numFmtId="0" fontId="7" fillId="0" borderId="0" xfId="0" applyFont="1" applyProtection="1">
      <protection hidden="1"/>
    </xf>
    <xf numFmtId="0" fontId="2" fillId="0" borderId="0" xfId="0" applyFont="1"/>
    <xf numFmtId="0" fontId="5" fillId="0" borderId="0" xfId="0" applyFont="1"/>
    <xf numFmtId="0" fontId="12" fillId="0" borderId="0" xfId="0" applyFont="1"/>
    <xf numFmtId="0" fontId="8" fillId="0" borderId="0" xfId="0" applyFont="1" applyProtection="1">
      <protection hidden="1"/>
    </xf>
    <xf numFmtId="0" fontId="6" fillId="0" borderId="0" xfId="0" applyFont="1" applyProtection="1">
      <protection hidden="1"/>
    </xf>
    <xf numFmtId="0" fontId="6" fillId="0" borderId="0" xfId="0" applyFont="1" applyAlignment="1" applyProtection="1">
      <alignment horizontal="center"/>
      <protection hidden="1"/>
    </xf>
    <xf numFmtId="0" fontId="8" fillId="0" borderId="0" xfId="0" applyFont="1"/>
    <xf numFmtId="49" fontId="8" fillId="0" borderId="0" xfId="0" applyNumberFormat="1" applyFont="1"/>
    <xf numFmtId="0" fontId="6" fillId="0" borderId="0" xfId="0" applyFont="1" applyAlignment="1" applyProtection="1">
      <alignment horizontal="left"/>
      <protection hidden="1"/>
    </xf>
    <xf numFmtId="0" fontId="8" fillId="0" borderId="0" xfId="0" applyFont="1" applyAlignment="1" applyProtection="1">
      <alignment horizontal="left"/>
      <protection hidden="1"/>
    </xf>
    <xf numFmtId="0" fontId="8" fillId="0" borderId="1" xfId="0" applyFont="1" applyBorder="1" applyProtection="1">
      <protection hidden="1"/>
    </xf>
    <xf numFmtId="0" fontId="8" fillId="0" borderId="2" xfId="0" applyFont="1" applyBorder="1" applyAlignment="1" applyProtection="1">
      <alignment horizontal="right"/>
      <protection hidden="1"/>
    </xf>
    <xf numFmtId="0" fontId="8" fillId="0" borderId="3" xfId="0" applyFont="1" applyBorder="1" applyProtection="1">
      <protection hidden="1"/>
    </xf>
    <xf numFmtId="0" fontId="8" fillId="0" borderId="0" xfId="0" applyFont="1" applyAlignment="1" applyProtection="1">
      <alignment horizontal="right"/>
      <protection hidden="1"/>
    </xf>
    <xf numFmtId="0" fontId="8" fillId="0" borderId="5" xfId="0" applyFont="1" applyBorder="1" applyProtection="1">
      <protection hidden="1"/>
    </xf>
    <xf numFmtId="0" fontId="8" fillId="0" borderId="6" xfId="0" applyFont="1" applyBorder="1" applyAlignment="1" applyProtection="1">
      <alignment horizontal="right"/>
      <protection hidden="1"/>
    </xf>
    <xf numFmtId="0" fontId="6" fillId="0" borderId="0" xfId="0" applyFont="1"/>
    <xf numFmtId="49" fontId="8" fillId="0" borderId="0" xfId="0" applyNumberFormat="1" applyFont="1" applyAlignment="1">
      <alignment horizontal="right"/>
    </xf>
    <xf numFmtId="0" fontId="8" fillId="0" borderId="0" xfId="0" applyFont="1" applyAlignment="1">
      <alignment horizontal="right"/>
    </xf>
    <xf numFmtId="0" fontId="8" fillId="0" borderId="0" xfId="0" applyFont="1" applyAlignment="1">
      <alignment horizontal="center"/>
    </xf>
    <xf numFmtId="9" fontId="8" fillId="0" borderId="0" xfId="4" applyFont="1" applyFill="1" applyBorder="1"/>
    <xf numFmtId="0" fontId="8" fillId="0" borderId="3" xfId="0" applyFont="1" applyBorder="1" applyAlignment="1" applyProtection="1">
      <alignment horizontal="right"/>
      <protection hidden="1"/>
    </xf>
    <xf numFmtId="0" fontId="8" fillId="0" borderId="4" xfId="0" applyFont="1" applyBorder="1" applyProtection="1">
      <protection hidden="1"/>
    </xf>
    <xf numFmtId="167" fontId="6" fillId="0" borderId="0" xfId="0" applyNumberFormat="1" applyFont="1" applyProtection="1">
      <protection hidden="1"/>
    </xf>
    <xf numFmtId="0" fontId="8" fillId="2" borderId="4" xfId="0" applyFont="1" applyFill="1" applyBorder="1" applyProtection="1">
      <protection locked="0"/>
    </xf>
    <xf numFmtId="1" fontId="8" fillId="0" borderId="4" xfId="0" applyNumberFormat="1" applyFont="1" applyBorder="1" applyProtection="1">
      <protection hidden="1"/>
    </xf>
    <xf numFmtId="0" fontId="6" fillId="0" borderId="0" xfId="0" applyFont="1" applyAlignment="1" applyProtection="1">
      <alignment horizontal="right"/>
      <protection hidden="1"/>
    </xf>
    <xf numFmtId="0" fontId="6" fillId="0" borderId="6" xfId="0" applyFont="1" applyBorder="1" applyAlignment="1" applyProtection="1">
      <alignment horizontal="right"/>
      <protection hidden="1"/>
    </xf>
    <xf numFmtId="49" fontId="8" fillId="0" borderId="0" xfId="0" applyNumberFormat="1" applyFont="1" applyProtection="1">
      <protection hidden="1"/>
    </xf>
    <xf numFmtId="0" fontId="8" fillId="0" borderId="0" xfId="0" applyFont="1" applyAlignment="1">
      <alignment horizontal="left"/>
    </xf>
    <xf numFmtId="2" fontId="8" fillId="0" borderId="0" xfId="0" applyNumberFormat="1" applyFont="1" applyProtection="1">
      <protection hidden="1"/>
    </xf>
    <xf numFmtId="9" fontId="8" fillId="0" borderId="0" xfId="4" applyFont="1" applyFill="1" applyBorder="1" applyProtection="1">
      <protection hidden="1"/>
    </xf>
    <xf numFmtId="2" fontId="6" fillId="0" borderId="10" xfId="0" applyNumberFormat="1" applyFont="1" applyBorder="1" applyProtection="1">
      <protection hidden="1"/>
    </xf>
    <xf numFmtId="2" fontId="6" fillId="0" borderId="0" xfId="0" applyNumberFormat="1" applyFont="1" applyProtection="1">
      <protection hidden="1"/>
    </xf>
    <xf numFmtId="2" fontId="8" fillId="0" borderId="0" xfId="0" applyNumberFormat="1" applyFont="1" applyAlignment="1" applyProtection="1">
      <alignment horizontal="right"/>
      <protection hidden="1"/>
    </xf>
    <xf numFmtId="0" fontId="6" fillId="0" borderId="3" xfId="0" applyFont="1" applyBorder="1" applyAlignment="1" applyProtection="1">
      <alignment horizontal="right"/>
      <protection hidden="1"/>
    </xf>
    <xf numFmtId="2" fontId="6" fillId="0" borderId="0" xfId="0" applyNumberFormat="1" applyFont="1" applyAlignment="1" applyProtection="1">
      <alignment horizontal="right"/>
      <protection hidden="1"/>
    </xf>
    <xf numFmtId="0" fontId="6" fillId="0" borderId="5" xfId="0" applyFont="1" applyBorder="1" applyAlignment="1" applyProtection="1">
      <alignment horizontal="right"/>
      <protection hidden="1"/>
    </xf>
    <xf numFmtId="14" fontId="8" fillId="0" borderId="0" xfId="0" applyNumberFormat="1" applyFont="1" applyProtection="1">
      <protection hidden="1"/>
    </xf>
    <xf numFmtId="0" fontId="14" fillId="0" borderId="0" xfId="0" applyFont="1" applyProtection="1">
      <protection hidden="1"/>
    </xf>
    <xf numFmtId="0" fontId="13" fillId="0" borderId="0" xfId="0" applyFont="1" applyProtection="1">
      <protection hidden="1"/>
    </xf>
    <xf numFmtId="0" fontId="6" fillId="0" borderId="1" xfId="0" applyFont="1" applyBorder="1" applyAlignment="1" applyProtection="1">
      <alignment horizontal="right"/>
      <protection hidden="1"/>
    </xf>
    <xf numFmtId="0" fontId="6" fillId="0" borderId="2" xfId="0" applyFont="1" applyBorder="1" applyAlignment="1" applyProtection="1">
      <alignment horizontal="right"/>
      <protection hidden="1"/>
    </xf>
    <xf numFmtId="0" fontId="6" fillId="0" borderId="11" xfId="0" applyFont="1" applyBorder="1" applyAlignment="1" applyProtection="1">
      <alignment horizontal="right"/>
      <protection hidden="1"/>
    </xf>
    <xf numFmtId="0" fontId="8" fillId="0" borderId="5"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6" fillId="0" borderId="10" xfId="0" applyNumberFormat="1" applyFont="1" applyBorder="1" applyProtection="1">
      <protection hidden="1"/>
    </xf>
    <xf numFmtId="1" fontId="6" fillId="0" borderId="7" xfId="0" applyNumberFormat="1" applyFont="1" applyBorder="1" applyProtection="1">
      <protection hidden="1"/>
    </xf>
    <xf numFmtId="0" fontId="2" fillId="2" borderId="0" xfId="0" applyFont="1" applyFill="1"/>
    <xf numFmtId="0" fontId="2" fillId="4" borderId="0" xfId="0" applyFont="1" applyFill="1"/>
    <xf numFmtId="1" fontId="2" fillId="0" borderId="0" xfId="0" applyNumberFormat="1" applyFont="1"/>
    <xf numFmtId="1" fontId="0" fillId="0" borderId="0" xfId="0" applyNumberFormat="1"/>
    <xf numFmtId="0" fontId="6" fillId="0" borderId="12" xfId="0" applyFont="1" applyBorder="1" applyProtection="1">
      <protection hidden="1"/>
    </xf>
    <xf numFmtId="1" fontId="6" fillId="0" borderId="12" xfId="0" applyNumberFormat="1" applyFont="1" applyBorder="1" applyAlignment="1" applyProtection="1">
      <alignment horizontal="center"/>
      <protection hidden="1"/>
    </xf>
    <xf numFmtId="0" fontId="9" fillId="3" borderId="12" xfId="0" applyFont="1" applyFill="1" applyBorder="1" applyAlignment="1" applyProtection="1">
      <alignment horizontal="right"/>
      <protection hidden="1"/>
    </xf>
    <xf numFmtId="0" fontId="9" fillId="0" borderId="12" xfId="0" applyFont="1" applyBorder="1" applyAlignment="1" applyProtection="1">
      <alignment horizontal="right"/>
      <protection hidden="1"/>
    </xf>
    <xf numFmtId="9" fontId="8" fillId="0" borderId="0" xfId="4" applyFont="1" applyProtection="1">
      <protection hidden="1"/>
    </xf>
    <xf numFmtId="166" fontId="8" fillId="0" borderId="0" xfId="1" applyNumberFormat="1" applyFont="1" applyFill="1" applyBorder="1" applyAlignment="1" applyProtection="1">
      <alignment horizontal="right"/>
      <protection hidden="1"/>
    </xf>
    <xf numFmtId="166" fontId="8" fillId="0" borderId="4" xfId="1" applyNumberFormat="1" applyFont="1" applyFill="1" applyBorder="1" applyAlignment="1" applyProtection="1">
      <alignment horizontal="right"/>
      <protection hidden="1"/>
    </xf>
    <xf numFmtId="166" fontId="8" fillId="0" borderId="0" xfId="1" applyNumberFormat="1" applyFont="1" applyBorder="1" applyAlignment="1" applyProtection="1">
      <alignment horizontal="right"/>
      <protection hidden="1"/>
    </xf>
    <xf numFmtId="166" fontId="8" fillId="0" borderId="4" xfId="1" applyNumberFormat="1" applyFont="1" applyBorder="1" applyAlignment="1" applyProtection="1">
      <alignment horizontal="right"/>
      <protection hidden="1"/>
    </xf>
    <xf numFmtId="166" fontId="6" fillId="0" borderId="0" xfId="1" applyNumberFormat="1" applyFont="1" applyFill="1" applyBorder="1" applyAlignment="1" applyProtection="1">
      <alignment horizontal="right"/>
      <protection hidden="1"/>
    </xf>
    <xf numFmtId="166" fontId="6" fillId="0" borderId="4" xfId="1" applyNumberFormat="1" applyFont="1" applyFill="1" applyBorder="1" applyAlignment="1" applyProtection="1">
      <alignment horizontal="right"/>
      <protection hidden="1"/>
    </xf>
    <xf numFmtId="166" fontId="6" fillId="0" borderId="6" xfId="1" applyNumberFormat="1" applyFont="1" applyFill="1" applyBorder="1" applyAlignment="1" applyProtection="1">
      <alignment horizontal="right"/>
      <protection hidden="1"/>
    </xf>
    <xf numFmtId="166" fontId="6" fillId="0" borderId="7" xfId="1" applyNumberFormat="1" applyFont="1" applyFill="1" applyBorder="1" applyAlignment="1" applyProtection="1">
      <alignment horizontal="right"/>
      <protection hidden="1"/>
    </xf>
    <xf numFmtId="166" fontId="8" fillId="0" borderId="8" xfId="0" applyNumberFormat="1" applyFont="1" applyBorder="1" applyProtection="1">
      <protection hidden="1"/>
    </xf>
    <xf numFmtId="166" fontId="8" fillId="0" borderId="9" xfId="0" applyNumberFormat="1" applyFont="1" applyBorder="1" applyProtection="1">
      <protection hidden="1"/>
    </xf>
    <xf numFmtId="166" fontId="6" fillId="0" borderId="10" xfId="0" applyNumberFormat="1" applyFont="1" applyBorder="1" applyProtection="1">
      <protection hidden="1"/>
    </xf>
    <xf numFmtId="166" fontId="6" fillId="0" borderId="7" xfId="0" applyNumberFormat="1" applyFont="1" applyBorder="1" applyProtection="1">
      <protection hidden="1"/>
    </xf>
    <xf numFmtId="0" fontId="15" fillId="0" borderId="0" xfId="0" applyFont="1"/>
    <xf numFmtId="1" fontId="8" fillId="0" borderId="0" xfId="0" applyNumberFormat="1" applyFont="1" applyProtection="1">
      <protection hidden="1"/>
    </xf>
    <xf numFmtId="165" fontId="8" fillId="0" borderId="0" xfId="4" applyNumberFormat="1" applyFont="1" applyFill="1" applyBorder="1" applyProtection="1">
      <protection hidden="1"/>
    </xf>
    <xf numFmtId="166" fontId="6" fillId="0" borderId="13" xfId="0" applyNumberFormat="1" applyFont="1" applyBorder="1" applyProtection="1">
      <protection hidden="1"/>
    </xf>
    <xf numFmtId="0" fontId="6" fillId="0" borderId="14" xfId="0" applyFont="1" applyBorder="1" applyAlignment="1" applyProtection="1">
      <alignment horizontal="right"/>
      <protection hidden="1"/>
    </xf>
    <xf numFmtId="1" fontId="6" fillId="0" borderId="15" xfId="0" applyNumberFormat="1" applyFont="1" applyBorder="1" applyAlignment="1" applyProtection="1">
      <alignment horizontal="center"/>
      <protection hidden="1"/>
    </xf>
    <xf numFmtId="0" fontId="9" fillId="0" borderId="14" xfId="0" applyFont="1" applyBorder="1" applyAlignment="1" applyProtection="1">
      <alignment horizontal="right"/>
      <protection hidden="1"/>
    </xf>
    <xf numFmtId="166" fontId="16" fillId="2" borderId="4" xfId="0" applyNumberFormat="1" applyFont="1" applyFill="1" applyBorder="1" applyProtection="1">
      <protection locked="0"/>
    </xf>
    <xf numFmtId="0" fontId="9" fillId="0" borderId="0" xfId="0" applyFont="1" applyProtection="1">
      <protection hidden="1"/>
    </xf>
    <xf numFmtId="168" fontId="0" fillId="0" borderId="0" xfId="0" applyNumberFormat="1"/>
    <xf numFmtId="9" fontId="9" fillId="0" borderId="0" xfId="4" applyFont="1" applyFill="1" applyBorder="1" applyProtection="1">
      <protection hidden="1"/>
    </xf>
    <xf numFmtId="2" fontId="9" fillId="0" borderId="0" xfId="0" applyNumberFormat="1" applyFont="1" applyProtection="1">
      <protection hidden="1"/>
    </xf>
    <xf numFmtId="0" fontId="17" fillId="5" borderId="0" xfId="0" applyFont="1" applyFill="1" applyAlignment="1" applyProtection="1">
      <alignment horizontal="left" vertical="top"/>
      <protection hidden="1"/>
    </xf>
    <xf numFmtId="0" fontId="5" fillId="5" borderId="0" xfId="0" applyFont="1" applyFill="1" applyAlignment="1" applyProtection="1">
      <alignment horizontal="center" vertical="top"/>
      <protection hidden="1"/>
    </xf>
    <xf numFmtId="0" fontId="5" fillId="5" borderId="4" xfId="0" applyFont="1" applyFill="1" applyBorder="1" applyAlignment="1" applyProtection="1">
      <alignment horizontal="center" vertical="top"/>
      <protection hidden="1"/>
    </xf>
    <xf numFmtId="0" fontId="10" fillId="5" borderId="0" xfId="0" applyFont="1" applyFill="1" applyAlignment="1" applyProtection="1">
      <alignment horizontal="center"/>
      <protection hidden="1"/>
    </xf>
    <xf numFmtId="0" fontId="10" fillId="5" borderId="4" xfId="0" applyFont="1" applyFill="1" applyBorder="1" applyAlignment="1" applyProtection="1">
      <alignment horizontal="center"/>
      <protection hidden="1"/>
    </xf>
    <xf numFmtId="166" fontId="8" fillId="0" borderId="8" xfId="0" applyNumberFormat="1" applyFont="1" applyBorder="1" applyProtection="1">
      <protection locked="0"/>
    </xf>
    <xf numFmtId="166" fontId="8" fillId="0" borderId="0" xfId="0" applyNumberFormat="1" applyFont="1" applyProtection="1">
      <protection hidden="1"/>
    </xf>
    <xf numFmtId="166" fontId="6" fillId="0" borderId="0" xfId="0" applyNumberFormat="1" applyFont="1" applyProtection="1">
      <protection hidden="1"/>
    </xf>
    <xf numFmtId="166" fontId="6" fillId="0" borderId="4" xfId="0" applyNumberFormat="1" applyFont="1" applyBorder="1" applyProtection="1">
      <protection hidden="1"/>
    </xf>
    <xf numFmtId="0" fontId="5" fillId="3" borderId="16" xfId="2" applyFont="1" applyFill="1" applyBorder="1" applyAlignment="1" applyProtection="1">
      <alignment vertical="top"/>
      <protection hidden="1"/>
    </xf>
    <xf numFmtId="0" fontId="5" fillId="3" borderId="17" xfId="2" applyFont="1" applyFill="1" applyBorder="1" applyAlignment="1" applyProtection="1">
      <alignment vertical="top"/>
      <protection hidden="1"/>
    </xf>
    <xf numFmtId="0" fontId="5" fillId="3" borderId="18" xfId="2" applyFont="1" applyFill="1" applyBorder="1" applyAlignment="1" applyProtection="1">
      <alignment vertical="top"/>
      <protection hidden="1"/>
    </xf>
    <xf numFmtId="170" fontId="8" fillId="0" borderId="0" xfId="1" applyNumberFormat="1" applyFont="1" applyFill="1" applyBorder="1" applyProtection="1">
      <protection hidden="1"/>
    </xf>
    <xf numFmtId="2" fontId="6" fillId="0" borderId="6" xfId="0" applyNumberFormat="1" applyFont="1" applyBorder="1" applyProtection="1">
      <protection hidden="1"/>
    </xf>
    <xf numFmtId="166" fontId="6" fillId="0" borderId="6" xfId="0" applyNumberFormat="1" applyFont="1" applyBorder="1" applyProtection="1">
      <protection hidden="1"/>
    </xf>
    <xf numFmtId="2" fontId="6" fillId="0" borderId="8" xfId="0" applyNumberFormat="1" applyFont="1" applyBorder="1" applyProtection="1">
      <protection hidden="1"/>
    </xf>
    <xf numFmtId="166" fontId="6" fillId="0" borderId="8" xfId="0" applyNumberFormat="1" applyFont="1" applyBorder="1" applyProtection="1">
      <protection hidden="1"/>
    </xf>
    <xf numFmtId="166" fontId="6" fillId="0" borderId="9" xfId="0" applyNumberFormat="1" applyFont="1" applyBorder="1" applyProtection="1">
      <protection hidden="1"/>
    </xf>
    <xf numFmtId="0" fontId="17" fillId="5" borderId="0" xfId="0" applyFont="1" applyFill="1" applyProtection="1">
      <protection hidden="1"/>
    </xf>
    <xf numFmtId="2" fontId="6" fillId="0" borderId="2" xfId="0" applyNumberFormat="1" applyFont="1" applyBorder="1" applyProtection="1">
      <protection hidden="1"/>
    </xf>
    <xf numFmtId="166" fontId="6" fillId="0" borderId="2" xfId="0" applyNumberFormat="1" applyFont="1" applyBorder="1" applyProtection="1">
      <protection hidden="1"/>
    </xf>
    <xf numFmtId="0" fontId="6" fillId="0" borderId="27" xfId="0" applyFont="1" applyBorder="1" applyAlignment="1" applyProtection="1">
      <alignment horizontal="right"/>
      <protection hidden="1"/>
    </xf>
    <xf numFmtId="0" fontId="6" fillId="0" borderId="28" xfId="0" applyFont="1" applyBorder="1" applyProtection="1">
      <protection hidden="1"/>
    </xf>
    <xf numFmtId="166" fontId="6" fillId="0" borderId="28" xfId="0" applyNumberFormat="1" applyFont="1" applyBorder="1" applyProtection="1">
      <protection hidden="1"/>
    </xf>
    <xf numFmtId="166" fontId="6" fillId="0" borderId="29" xfId="0" applyNumberFormat="1" applyFont="1" applyBorder="1" applyProtection="1">
      <protection hidden="1"/>
    </xf>
    <xf numFmtId="0" fontId="6" fillId="0" borderId="2" xfId="0" applyFont="1" applyBorder="1" applyProtection="1">
      <protection hidden="1"/>
    </xf>
    <xf numFmtId="0" fontId="6" fillId="0" borderId="6" xfId="0" applyFont="1" applyBorder="1" applyProtection="1">
      <protection hidden="1"/>
    </xf>
    <xf numFmtId="166" fontId="9" fillId="0" borderId="34" xfId="0" applyNumberFormat="1" applyFont="1" applyBorder="1" applyProtection="1">
      <protection hidden="1"/>
    </xf>
    <xf numFmtId="166" fontId="9" fillId="0" borderId="35" xfId="0" applyNumberFormat="1" applyFont="1" applyBorder="1" applyProtection="1">
      <protection hidden="1"/>
    </xf>
    <xf numFmtId="166" fontId="8" fillId="0" borderId="36" xfId="0" applyNumberFormat="1" applyFont="1" applyBorder="1" applyProtection="1">
      <protection locked="0"/>
    </xf>
    <xf numFmtId="166" fontId="8" fillId="0" borderId="36" xfId="0" applyNumberFormat="1" applyFont="1" applyBorder="1" applyProtection="1">
      <protection hidden="1"/>
    </xf>
    <xf numFmtId="166" fontId="8" fillId="0" borderId="37" xfId="0" applyNumberFormat="1" applyFont="1" applyBorder="1" applyProtection="1">
      <protection hidden="1"/>
    </xf>
    <xf numFmtId="166" fontId="8" fillId="0" borderId="34" xfId="0" applyNumberFormat="1" applyFont="1" applyBorder="1" applyProtection="1">
      <protection locked="0"/>
    </xf>
    <xf numFmtId="166" fontId="8" fillId="0" borderId="34" xfId="0" applyNumberFormat="1" applyFont="1" applyBorder="1" applyProtection="1">
      <protection hidden="1"/>
    </xf>
    <xf numFmtId="166" fontId="8" fillId="0" borderId="35" xfId="0" applyNumberFormat="1" applyFont="1" applyBorder="1" applyProtection="1">
      <protection hidden="1"/>
    </xf>
    <xf numFmtId="166" fontId="8" fillId="0" borderId="26" xfId="0" applyNumberFormat="1" applyFont="1" applyBorder="1" applyProtection="1">
      <protection hidden="1"/>
    </xf>
    <xf numFmtId="2" fontId="8" fillId="0" borderId="34" xfId="0" applyNumberFormat="1" applyFont="1" applyBorder="1" applyProtection="1">
      <protection locked="0"/>
    </xf>
    <xf numFmtId="2" fontId="8" fillId="0" borderId="34" xfId="0" applyNumberFormat="1" applyFont="1" applyBorder="1" applyProtection="1">
      <protection hidden="1"/>
    </xf>
    <xf numFmtId="2" fontId="8" fillId="0" borderId="25" xfId="0" applyNumberFormat="1" applyFont="1" applyBorder="1" applyProtection="1">
      <protection hidden="1"/>
    </xf>
    <xf numFmtId="2" fontId="8" fillId="0" borderId="36" xfId="0" applyNumberFormat="1" applyFont="1" applyBorder="1" applyProtection="1">
      <protection locked="0"/>
    </xf>
    <xf numFmtId="2" fontId="8" fillId="0" borderId="36" xfId="0" applyNumberFormat="1" applyFont="1" applyBorder="1" applyProtection="1">
      <protection hidden="1"/>
    </xf>
    <xf numFmtId="2" fontId="8" fillId="0" borderId="26" xfId="0" applyNumberFormat="1" applyFont="1" applyBorder="1" applyProtection="1">
      <protection hidden="1"/>
    </xf>
    <xf numFmtId="2" fontId="8" fillId="0" borderId="35" xfId="0" applyNumberFormat="1" applyFont="1" applyBorder="1" applyProtection="1">
      <protection hidden="1"/>
    </xf>
    <xf numFmtId="2" fontId="8" fillId="0" borderId="37" xfId="0" applyNumberFormat="1" applyFont="1" applyBorder="1" applyProtection="1">
      <protection hidden="1"/>
    </xf>
    <xf numFmtId="166" fontId="9" fillId="0" borderId="36" xfId="0" applyNumberFormat="1" applyFont="1" applyBorder="1" applyProtection="1">
      <protection hidden="1"/>
    </xf>
    <xf numFmtId="166" fontId="9" fillId="0" borderId="37" xfId="0" applyNumberFormat="1" applyFont="1" applyBorder="1" applyProtection="1">
      <protection hidden="1"/>
    </xf>
    <xf numFmtId="2" fontId="8" fillId="3" borderId="12" xfId="0" applyNumberFormat="1" applyFont="1" applyFill="1" applyBorder="1" applyAlignment="1" applyProtection="1">
      <alignment horizontal="right"/>
      <protection hidden="1"/>
    </xf>
    <xf numFmtId="2" fontId="8" fillId="3" borderId="15" xfId="0" applyNumberFormat="1" applyFont="1" applyFill="1" applyBorder="1" applyAlignment="1" applyProtection="1">
      <alignment horizontal="right"/>
      <protection hidden="1"/>
    </xf>
    <xf numFmtId="171" fontId="0" fillId="3" borderId="0" xfId="0" applyNumberFormat="1" applyFill="1"/>
    <xf numFmtId="171" fontId="0" fillId="0" borderId="0" xfId="0" applyNumberFormat="1"/>
    <xf numFmtId="171" fontId="0" fillId="2" borderId="0" xfId="0" applyNumberFormat="1" applyFill="1"/>
    <xf numFmtId="0" fontId="20" fillId="5" borderId="34" xfId="0" applyFont="1" applyFill="1" applyBorder="1" applyAlignment="1" applyProtection="1">
      <alignment horizontal="center"/>
      <protection hidden="1"/>
    </xf>
    <xf numFmtId="166" fontId="9" fillId="7" borderId="12" xfId="0" applyNumberFormat="1" applyFont="1" applyFill="1" applyBorder="1" applyProtection="1">
      <protection hidden="1"/>
    </xf>
    <xf numFmtId="166" fontId="9" fillId="7" borderId="15" xfId="0" applyNumberFormat="1" applyFont="1" applyFill="1" applyBorder="1" applyProtection="1">
      <protection hidden="1"/>
    </xf>
    <xf numFmtId="0" fontId="4" fillId="0" borderId="36" xfId="2" applyFill="1" applyBorder="1" applyAlignment="1" applyProtection="1">
      <alignment horizontal="center"/>
      <protection hidden="1"/>
    </xf>
    <xf numFmtId="0" fontId="8" fillId="0" borderId="39" xfId="0" applyFont="1" applyBorder="1" applyAlignment="1" applyProtection="1">
      <alignment horizontal="right"/>
      <protection hidden="1"/>
    </xf>
    <xf numFmtId="0" fontId="8" fillId="0" borderId="36" xfId="0" applyFont="1" applyBorder="1" applyAlignment="1" applyProtection="1">
      <alignment horizontal="right"/>
      <protection hidden="1"/>
    </xf>
    <xf numFmtId="0" fontId="6" fillId="2" borderId="36" xfId="0" applyFont="1" applyFill="1" applyBorder="1" applyProtection="1">
      <protection locked="0"/>
    </xf>
    <xf numFmtId="0" fontId="6" fillId="2" borderId="26" xfId="0" applyFont="1" applyFill="1" applyBorder="1" applyProtection="1">
      <protection locked="0"/>
    </xf>
    <xf numFmtId="0" fontId="8" fillId="0" borderId="40" xfId="0" applyFont="1" applyBorder="1" applyAlignment="1" applyProtection="1">
      <alignment horizontal="right"/>
      <protection hidden="1"/>
    </xf>
    <xf numFmtId="0" fontId="8" fillId="0" borderId="12" xfId="0" applyFont="1" applyBorder="1" applyAlignment="1" applyProtection="1">
      <alignment horizontal="right"/>
      <protection hidden="1"/>
    </xf>
    <xf numFmtId="167" fontId="6" fillId="0" borderId="12" xfId="0" applyNumberFormat="1" applyFont="1" applyBorder="1" applyProtection="1">
      <protection hidden="1"/>
    </xf>
    <xf numFmtId="167" fontId="6" fillId="0" borderId="41" xfId="0" applyNumberFormat="1" applyFont="1" applyBorder="1" applyProtection="1">
      <protection hidden="1"/>
    </xf>
    <xf numFmtId="0" fontId="8" fillId="0" borderId="34" xfId="0" applyFont="1" applyBorder="1" applyProtection="1">
      <protection locked="0"/>
    </xf>
    <xf numFmtId="0" fontId="8" fillId="0" borderId="36" xfId="0" applyFont="1" applyBorder="1" applyProtection="1">
      <protection locked="0"/>
    </xf>
    <xf numFmtId="169" fontId="8" fillId="0" borderId="43" xfId="0" applyNumberFormat="1" applyFont="1" applyBorder="1" applyProtection="1">
      <protection hidden="1"/>
    </xf>
    <xf numFmtId="169" fontId="8" fillId="0" borderId="37" xfId="0" applyNumberFormat="1" applyFont="1" applyBorder="1" applyProtection="1">
      <protection hidden="1"/>
    </xf>
    <xf numFmtId="1" fontId="8" fillId="0" borderId="44" xfId="0" applyNumberFormat="1" applyFont="1" applyBorder="1" applyProtection="1">
      <protection hidden="1"/>
    </xf>
    <xf numFmtId="1" fontId="8" fillId="0" borderId="12" xfId="0" applyNumberFormat="1" applyFont="1" applyBorder="1" applyProtection="1">
      <protection hidden="1"/>
    </xf>
    <xf numFmtId="1" fontId="8" fillId="0" borderId="15" xfId="0" applyNumberFormat="1" applyFont="1" applyBorder="1" applyProtection="1">
      <protection hidden="1"/>
    </xf>
    <xf numFmtId="0" fontId="8" fillId="0" borderId="44" xfId="0" applyFont="1" applyBorder="1" applyProtection="1">
      <protection hidden="1"/>
    </xf>
    <xf numFmtId="0" fontId="8" fillId="0" borderId="15" xfId="0" applyFont="1" applyBorder="1" applyProtection="1">
      <protection hidden="1"/>
    </xf>
    <xf numFmtId="169" fontId="8" fillId="0" borderId="42" xfId="0" applyNumberFormat="1" applyFont="1" applyBorder="1" applyProtection="1">
      <protection hidden="1"/>
    </xf>
    <xf numFmtId="169" fontId="8" fillId="0" borderId="34" xfId="0" applyNumberFormat="1" applyFont="1" applyBorder="1" applyProtection="1">
      <protection hidden="1"/>
    </xf>
    <xf numFmtId="169" fontId="8" fillId="0" borderId="35" xfId="0" applyNumberFormat="1" applyFont="1" applyBorder="1" applyProtection="1">
      <protection hidden="1"/>
    </xf>
    <xf numFmtId="172" fontId="8" fillId="0" borderId="12" xfId="0" applyNumberFormat="1" applyFont="1" applyBorder="1" applyAlignment="1" applyProtection="1">
      <alignment horizontal="right"/>
      <protection hidden="1"/>
    </xf>
    <xf numFmtId="0" fontId="8" fillId="0" borderId="45" xfId="0" applyFont="1" applyBorder="1" applyProtection="1">
      <protection hidden="1"/>
    </xf>
    <xf numFmtId="0" fontId="8" fillId="0" borderId="46" xfId="0" applyFont="1" applyBorder="1" applyProtection="1">
      <protection hidden="1"/>
    </xf>
    <xf numFmtId="0" fontId="8" fillId="8" borderId="0" xfId="0" applyFont="1" applyFill="1" applyProtection="1">
      <protection hidden="1"/>
    </xf>
    <xf numFmtId="0" fontId="6" fillId="8" borderId="0" xfId="0" applyFont="1" applyFill="1" applyProtection="1">
      <protection hidden="1"/>
    </xf>
    <xf numFmtId="166" fontId="8" fillId="8" borderId="0" xfId="0" applyNumberFormat="1" applyFont="1" applyFill="1" applyProtection="1">
      <protection hidden="1"/>
    </xf>
    <xf numFmtId="9" fontId="8" fillId="8" borderId="0" xfId="4" applyFont="1" applyFill="1" applyBorder="1" applyProtection="1">
      <protection hidden="1"/>
    </xf>
    <xf numFmtId="170" fontId="8" fillId="8" borderId="0" xfId="1" applyNumberFormat="1" applyFont="1" applyFill="1" applyBorder="1" applyProtection="1">
      <protection hidden="1"/>
    </xf>
    <xf numFmtId="166" fontId="8" fillId="8" borderId="0" xfId="4" applyNumberFormat="1" applyFont="1" applyFill="1" applyBorder="1" applyProtection="1">
      <protection hidden="1"/>
    </xf>
    <xf numFmtId="172" fontId="8" fillId="0" borderId="15" xfId="0" applyNumberFormat="1" applyFont="1" applyBorder="1" applyAlignment="1" applyProtection="1">
      <alignment horizontal="right"/>
      <protection hidden="1"/>
    </xf>
    <xf numFmtId="0" fontId="8" fillId="9" borderId="0" xfId="0" applyFont="1" applyFill="1" applyProtection="1">
      <protection hidden="1"/>
    </xf>
    <xf numFmtId="0" fontId="6" fillId="9" borderId="0" xfId="0" applyFont="1" applyFill="1" applyAlignment="1" applyProtection="1">
      <alignment wrapText="1"/>
      <protection hidden="1"/>
    </xf>
    <xf numFmtId="169" fontId="8" fillId="0" borderId="34" xfId="0" applyNumberFormat="1" applyFont="1" applyBorder="1" applyProtection="1">
      <protection locked="0"/>
    </xf>
    <xf numFmtId="167" fontId="8" fillId="0" borderId="4" xfId="0" applyNumberFormat="1" applyFont="1" applyBorder="1" applyProtection="1">
      <protection hidden="1"/>
    </xf>
    <xf numFmtId="0" fontId="8" fillId="0" borderId="47" xfId="0" applyFont="1" applyBorder="1" applyProtection="1">
      <protection hidden="1"/>
    </xf>
    <xf numFmtId="171" fontId="1" fillId="0" borderId="0" xfId="0" applyNumberFormat="1" applyFont="1"/>
    <xf numFmtId="14" fontId="6" fillId="0" borderId="0" xfId="0" applyNumberFormat="1" applyFont="1" applyProtection="1">
      <protection hidden="1"/>
    </xf>
    <xf numFmtId="0" fontId="8" fillId="2" borderId="11" xfId="0" applyFont="1" applyFill="1" applyBorder="1" applyAlignment="1" applyProtection="1">
      <alignment horizontal="right"/>
      <protection locked="0"/>
    </xf>
    <xf numFmtId="173" fontId="8" fillId="2" borderId="4" xfId="0" applyNumberFormat="1" applyFont="1" applyFill="1" applyBorder="1" applyProtection="1">
      <protection locked="0"/>
    </xf>
    <xf numFmtId="1" fontId="19" fillId="2" borderId="12" xfId="0" applyNumberFormat="1" applyFont="1" applyFill="1" applyBorder="1" applyAlignment="1" applyProtection="1">
      <alignment horizontal="right"/>
      <protection locked="0"/>
    </xf>
    <xf numFmtId="166" fontId="9" fillId="2" borderId="12" xfId="1" applyNumberFormat="1" applyFont="1" applyFill="1" applyBorder="1" applyAlignment="1" applyProtection="1">
      <alignment horizontal="right"/>
      <protection locked="0"/>
    </xf>
    <xf numFmtId="0" fontId="8" fillId="2" borderId="7" xfId="0" applyFont="1" applyFill="1" applyBorder="1" applyProtection="1">
      <protection locked="0"/>
    </xf>
    <xf numFmtId="0" fontId="5" fillId="5" borderId="3" xfId="0" applyFont="1" applyFill="1" applyBorder="1" applyAlignment="1" applyProtection="1">
      <alignment horizontal="center" vertical="top"/>
      <protection locked="0"/>
    </xf>
    <xf numFmtId="0" fontId="6" fillId="5" borderId="3" xfId="0" applyFont="1" applyFill="1" applyBorder="1" applyProtection="1">
      <protection locked="0"/>
    </xf>
    <xf numFmtId="9" fontId="8" fillId="0" borderId="0" xfId="4" applyFont="1" applyFill="1" applyBorder="1" applyProtection="1">
      <protection locked="0"/>
    </xf>
    <xf numFmtId="0" fontId="8" fillId="0" borderId="0" xfId="0" applyFont="1" applyProtection="1">
      <protection locked="0"/>
    </xf>
    <xf numFmtId="0" fontId="6" fillId="0" borderId="0" xfId="0" applyFont="1" applyProtection="1">
      <protection locked="0"/>
    </xf>
    <xf numFmtId="0" fontId="11" fillId="0" borderId="0" xfId="0" applyFont="1" applyAlignment="1">
      <alignment horizontal="left" wrapText="1"/>
    </xf>
    <xf numFmtId="0" fontId="9" fillId="6" borderId="30" xfId="0" quotePrefix="1" applyFont="1" applyFill="1" applyBorder="1" applyAlignment="1" applyProtection="1">
      <alignment horizontal="left" vertical="top" wrapText="1"/>
      <protection hidden="1"/>
    </xf>
    <xf numFmtId="0" fontId="9" fillId="6" borderId="31" xfId="0" applyFont="1" applyFill="1" applyBorder="1" applyAlignment="1" applyProtection="1">
      <alignment horizontal="left" vertical="top"/>
      <protection hidden="1"/>
    </xf>
    <xf numFmtId="0" fontId="9" fillId="6" borderId="32" xfId="0" applyFont="1" applyFill="1" applyBorder="1" applyAlignment="1" applyProtection="1">
      <alignment horizontal="left" vertical="top"/>
      <protection hidden="1"/>
    </xf>
    <xf numFmtId="0" fontId="8" fillId="0" borderId="22" xfId="0" applyFont="1" applyBorder="1" applyAlignment="1" applyProtection="1">
      <alignment horizontal="right" vertical="center"/>
      <protection hidden="1"/>
    </xf>
    <xf numFmtId="0" fontId="8" fillId="0" borderId="38" xfId="0" applyFont="1" applyBorder="1" applyAlignment="1" applyProtection="1">
      <alignment horizontal="right" vertical="center"/>
      <protection hidden="1"/>
    </xf>
    <xf numFmtId="0" fontId="8" fillId="0" borderId="33" xfId="0" applyFont="1" applyBorder="1" applyAlignment="1" applyProtection="1">
      <alignment horizontal="right" vertical="center"/>
      <protection hidden="1"/>
    </xf>
    <xf numFmtId="0" fontId="6" fillId="0" borderId="33" xfId="0" applyFont="1" applyBorder="1" applyAlignment="1" applyProtection="1">
      <alignment horizontal="right" vertical="center"/>
      <protection hidden="1"/>
    </xf>
    <xf numFmtId="0" fontId="6" fillId="0" borderId="38" xfId="0" applyFont="1" applyBorder="1" applyAlignment="1" applyProtection="1">
      <alignment horizontal="right" vertical="center"/>
      <protection hidden="1"/>
    </xf>
    <xf numFmtId="0" fontId="5" fillId="3" borderId="16" xfId="0" applyFont="1" applyFill="1" applyBorder="1" applyAlignment="1" applyProtection="1">
      <alignment horizontal="left" vertical="top"/>
      <protection hidden="1"/>
    </xf>
    <xf numFmtId="0" fontId="5" fillId="3" borderId="17" xfId="0" applyFont="1" applyFill="1" applyBorder="1" applyAlignment="1" applyProtection="1">
      <alignment horizontal="left" vertical="top"/>
      <protection hidden="1"/>
    </xf>
    <xf numFmtId="0" fontId="5" fillId="3" borderId="18" xfId="0" applyFont="1" applyFill="1" applyBorder="1" applyAlignment="1" applyProtection="1">
      <alignment horizontal="left" vertical="top"/>
      <protection hidden="1"/>
    </xf>
    <xf numFmtId="0" fontId="9" fillId="6" borderId="3" xfId="0" quotePrefix="1" applyFont="1" applyFill="1" applyBorder="1" applyAlignment="1" applyProtection="1">
      <alignment horizontal="left" vertical="center" wrapText="1"/>
      <protection hidden="1"/>
    </xf>
    <xf numFmtId="0" fontId="9" fillId="6" borderId="0" xfId="0" quotePrefix="1" applyFont="1" applyFill="1" applyAlignment="1" applyProtection="1">
      <alignment horizontal="left" vertical="center" wrapText="1"/>
      <protection hidden="1"/>
    </xf>
    <xf numFmtId="0" fontId="9" fillId="6" borderId="4" xfId="0" quotePrefix="1" applyFont="1" applyFill="1" applyBorder="1" applyAlignment="1" applyProtection="1">
      <alignment horizontal="left" vertical="center" wrapText="1"/>
      <protection hidden="1"/>
    </xf>
    <xf numFmtId="0" fontId="9" fillId="6" borderId="23" xfId="0" quotePrefix="1" applyFont="1" applyFill="1" applyBorder="1" applyAlignment="1" applyProtection="1">
      <alignment horizontal="left" vertical="top" wrapText="1"/>
      <protection hidden="1"/>
    </xf>
    <xf numFmtId="0" fontId="10" fillId="6" borderId="24" xfId="0" applyFont="1" applyFill="1" applyBorder="1" applyAlignment="1" applyProtection="1">
      <alignment horizontal="left" vertical="top"/>
      <protection hidden="1"/>
    </xf>
    <xf numFmtId="0" fontId="10" fillId="6" borderId="25" xfId="0" applyFont="1" applyFill="1" applyBorder="1" applyAlignment="1" applyProtection="1">
      <alignment horizontal="left" vertical="top"/>
      <protection hidden="1"/>
    </xf>
    <xf numFmtId="0" fontId="5" fillId="3" borderId="19" xfId="2" applyFont="1" applyFill="1" applyBorder="1" applyAlignment="1" applyProtection="1">
      <alignment horizontal="left" vertical="top"/>
      <protection hidden="1"/>
    </xf>
    <xf numFmtId="0" fontId="5" fillId="3" borderId="20" xfId="2" applyFont="1" applyFill="1" applyBorder="1" applyAlignment="1" applyProtection="1">
      <alignment horizontal="left" vertical="top"/>
      <protection hidden="1"/>
    </xf>
    <xf numFmtId="0" fontId="5" fillId="3" borderId="21" xfId="2" applyFont="1" applyFill="1" applyBorder="1" applyAlignment="1" applyProtection="1">
      <alignment horizontal="left" vertical="top"/>
      <protection hidden="1"/>
    </xf>
    <xf numFmtId="0" fontId="5" fillId="3" borderId="1" xfId="0" applyFont="1" applyFill="1" applyBorder="1" applyAlignment="1" applyProtection="1">
      <alignment horizontal="left" vertical="center"/>
      <protection hidden="1"/>
    </xf>
    <xf numFmtId="0" fontId="5" fillId="3" borderId="2" xfId="0" applyFont="1" applyFill="1" applyBorder="1" applyAlignment="1" applyProtection="1">
      <alignment horizontal="left" vertical="center"/>
      <protection hidden="1"/>
    </xf>
    <xf numFmtId="0" fontId="5" fillId="3" borderId="11" xfId="0" applyFont="1" applyFill="1" applyBorder="1" applyAlignment="1" applyProtection="1">
      <alignment horizontal="left" vertical="center"/>
      <protection hidden="1"/>
    </xf>
    <xf numFmtId="0" fontId="9" fillId="6" borderId="1" xfId="2" quotePrefix="1" applyFont="1" applyFill="1" applyBorder="1" applyAlignment="1" applyProtection="1">
      <alignment horizontal="left" vertical="center" wrapText="1"/>
      <protection hidden="1"/>
    </xf>
    <xf numFmtId="0" fontId="9" fillId="6" borderId="2" xfId="2" applyFont="1" applyFill="1" applyBorder="1" applyAlignment="1" applyProtection="1">
      <alignment horizontal="left" vertical="center"/>
      <protection hidden="1"/>
    </xf>
    <xf numFmtId="0" fontId="9" fillId="6" borderId="11" xfId="2" applyFont="1" applyFill="1" applyBorder="1" applyAlignment="1" applyProtection="1">
      <alignment horizontal="left" vertical="center"/>
      <protection hidden="1"/>
    </xf>
    <xf numFmtId="0" fontId="9" fillId="6" borderId="23" xfId="2" quotePrefix="1" applyFont="1" applyFill="1" applyBorder="1" applyAlignment="1" applyProtection="1">
      <alignment horizontal="left" vertical="center" wrapText="1"/>
      <protection hidden="1"/>
    </xf>
    <xf numFmtId="0" fontId="9" fillId="6" borderId="24" xfId="2" applyFont="1" applyFill="1" applyBorder="1" applyAlignment="1" applyProtection="1">
      <alignment horizontal="left" vertical="center" wrapText="1"/>
      <protection hidden="1"/>
    </xf>
    <xf numFmtId="0" fontId="9" fillId="6" borderId="25" xfId="2" applyFont="1" applyFill="1" applyBorder="1" applyAlignment="1" applyProtection="1">
      <alignment horizontal="left" vertical="center" wrapText="1"/>
      <protection hidden="1"/>
    </xf>
  </cellXfs>
  <cellStyles count="9">
    <cellStyle name="Currency" xfId="1" builtinId="4"/>
    <cellStyle name="Currency 2" xfId="6" xr:uid="{5219418F-E064-4197-AEFC-207EC1558443}"/>
    <cellStyle name="Hyperlink" xfId="2" builtinId="8"/>
    <cellStyle name="Normal" xfId="0" builtinId="0"/>
    <cellStyle name="Normal 2" xfId="3" xr:uid="{00000000-0005-0000-0000-000003000000}"/>
    <cellStyle name="Normal 2 2" xfId="7" xr:uid="{18160552-BD8D-4B11-AE65-A420E2DA7A7A}"/>
    <cellStyle name="Percent" xfId="4" builtinId="5"/>
    <cellStyle name="Percent 2" xfId="5" xr:uid="{00000000-0005-0000-0000-000005000000}"/>
    <cellStyle name="Percent 2 2" xfId="8" xr:uid="{66891C26-41FA-4C8D-8BB7-737FEAD8E5A6}"/>
  </cellStyles>
  <dxfs count="13">
    <dxf>
      <fill>
        <patternFill>
          <bgColor rgb="FFFFFF00"/>
        </patternFill>
      </fill>
    </dxf>
    <dxf>
      <font>
        <color theme="0"/>
      </font>
    </dxf>
    <dxf>
      <fill>
        <patternFill>
          <bgColor rgb="FFFFFF00"/>
        </patternFill>
      </fill>
    </dxf>
    <dxf>
      <font>
        <color theme="0"/>
      </font>
    </dxf>
    <dxf>
      <fill>
        <patternFill>
          <bgColor rgb="FFFFFF00"/>
        </patternFill>
      </fill>
    </dxf>
    <dxf>
      <font>
        <color theme="0"/>
      </font>
    </dxf>
    <dxf>
      <fill>
        <patternFill>
          <bgColor rgb="FFFFFF00"/>
        </patternFill>
      </fill>
    </dxf>
    <dxf>
      <font>
        <color theme="0"/>
      </font>
      <fill>
        <patternFill patternType="none">
          <bgColor auto="1"/>
        </patternFill>
      </fill>
    </dxf>
    <dxf>
      <font>
        <color theme="0"/>
      </font>
    </dxf>
    <dxf>
      <font>
        <color theme="0"/>
      </font>
      <fill>
        <patternFill patternType="none">
          <bgColor auto="1"/>
        </patternFill>
      </fill>
      <border>
        <right style="thin">
          <color auto="1"/>
        </right>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pPr>
            <a:r>
              <a:rPr lang="en-CA" sz="1400" b="1"/>
              <a:t>Gross Revenue</a:t>
            </a:r>
          </a:p>
        </c:rich>
      </c:tx>
      <c:overlay val="0"/>
    </c:title>
    <c:autoTitleDeleted val="0"/>
    <c:plotArea>
      <c:layout>
        <c:manualLayout>
          <c:layoutTarget val="inner"/>
          <c:xMode val="edge"/>
          <c:yMode val="edge"/>
          <c:x val="0.2334796575475504"/>
          <c:y val="0.17419894250984133"/>
          <c:w val="0.7055834075786398"/>
          <c:h val="0.64102721339353297"/>
        </c:manualLayout>
      </c:layout>
      <c:barChart>
        <c:barDir val="col"/>
        <c:grouping val="clustered"/>
        <c:varyColors val="0"/>
        <c:ser>
          <c:idx val="3"/>
          <c:order val="0"/>
          <c:tx>
            <c:v>Sale at Wean</c:v>
          </c:tx>
          <c:invertIfNegative val="0"/>
          <c:dLbls>
            <c:numFmt formatCode="#,##0" sourceLinked="0"/>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Backgrounding!$F$85</c:f>
              <c:numCache>
                <c:formatCode>"$"#,##0.00</c:formatCode>
                <c:ptCount val="1"/>
                <c:pt idx="0">
                  <c:v>2267.375</c:v>
                </c:pt>
              </c:numCache>
            </c:numRef>
          </c:val>
          <c:extLst>
            <c:ext xmlns:c16="http://schemas.microsoft.com/office/drawing/2014/chart" uri="{C3380CC4-5D6E-409C-BE32-E72D297353CC}">
              <c16:uniqueId val="{00000000-30F9-44D4-B5F5-9DBD10656A7E}"/>
            </c:ext>
          </c:extLst>
        </c:ser>
        <c:ser>
          <c:idx val="4"/>
          <c:order val="1"/>
          <c:tx>
            <c:strRef>
              <c:f>Backgrounding!$E$84</c:f>
              <c:strCache>
                <c:ptCount val="1"/>
                <c:pt idx="0">
                  <c:v>30 days</c:v>
                </c:pt>
              </c:strCache>
            </c:strRef>
          </c:tx>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Backgrounding!$E$86</c:f>
              <c:numCache>
                <c:formatCode>"$"#,##0.00</c:formatCode>
                <c:ptCount val="1"/>
                <c:pt idx="0">
                  <c:v>2582.5390385091168</c:v>
                </c:pt>
              </c:numCache>
            </c:numRef>
          </c:val>
          <c:extLst>
            <c:ext xmlns:c16="http://schemas.microsoft.com/office/drawing/2014/chart" uri="{C3380CC4-5D6E-409C-BE32-E72D297353CC}">
              <c16:uniqueId val="{00000001-8B49-424F-9863-49C044FFD4B8}"/>
            </c:ext>
          </c:extLst>
        </c:ser>
        <c:ser>
          <c:idx val="0"/>
          <c:order val="2"/>
          <c:tx>
            <c:strRef>
              <c:f>Backgrounding!$F$84</c:f>
              <c:strCache>
                <c:ptCount val="1"/>
                <c:pt idx="0">
                  <c:v>90 days</c:v>
                </c:pt>
              </c:strCache>
            </c:strRef>
          </c:tx>
          <c:invertIfNegative val="0"/>
          <c:dLbls>
            <c:numFmt formatCode="#,##0" sourceLinked="0"/>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Backgrounding!$C$86</c:f>
              <c:strCache>
                <c:ptCount val="1"/>
                <c:pt idx="0">
                  <c:v>Backgrounding Gross Revenue ($/head)</c:v>
                </c:pt>
              </c:strCache>
            </c:strRef>
          </c:cat>
          <c:val>
            <c:numRef>
              <c:f>Backgrounding!$F$86</c:f>
              <c:numCache>
                <c:formatCode>"$"#,##0.00</c:formatCode>
                <c:ptCount val="1"/>
                <c:pt idx="0">
                  <c:v>2535.4926903607866</c:v>
                </c:pt>
              </c:numCache>
            </c:numRef>
          </c:val>
          <c:extLst>
            <c:ext xmlns:c16="http://schemas.microsoft.com/office/drawing/2014/chart" uri="{C3380CC4-5D6E-409C-BE32-E72D297353CC}">
              <c16:uniqueId val="{00000001-30F9-44D4-B5F5-9DBD10656A7E}"/>
            </c:ext>
          </c:extLst>
        </c:ser>
        <c:ser>
          <c:idx val="1"/>
          <c:order val="3"/>
          <c:tx>
            <c:strRef>
              <c:f>Backgrounding!$G$84</c:f>
              <c:strCache>
                <c:ptCount val="1"/>
                <c:pt idx="0">
                  <c:v>120 days</c:v>
                </c:pt>
              </c:strCache>
            </c:strRef>
          </c:tx>
          <c:invertIfNegative val="0"/>
          <c:dLbls>
            <c:numFmt formatCode="#,##0" sourceLinked="0"/>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Backgrounding!$C$86</c:f>
              <c:strCache>
                <c:ptCount val="1"/>
                <c:pt idx="0">
                  <c:v>Backgrounding Gross Revenue ($/head)</c:v>
                </c:pt>
              </c:strCache>
            </c:strRef>
          </c:cat>
          <c:val>
            <c:numRef>
              <c:f>Backgrounding!$G$86</c:f>
              <c:numCache>
                <c:formatCode>"$"#,##0.00</c:formatCode>
                <c:ptCount val="1"/>
                <c:pt idx="0">
                  <c:v>2485.9738990839114</c:v>
                </c:pt>
              </c:numCache>
            </c:numRef>
          </c:val>
          <c:extLst>
            <c:ext xmlns:c16="http://schemas.microsoft.com/office/drawing/2014/chart" uri="{C3380CC4-5D6E-409C-BE32-E72D297353CC}">
              <c16:uniqueId val="{00000002-30F9-44D4-B5F5-9DBD10656A7E}"/>
            </c:ext>
          </c:extLst>
        </c:ser>
        <c:ser>
          <c:idx val="2"/>
          <c:order val="4"/>
          <c:tx>
            <c:strRef>
              <c:f>Backgrounding!$H$84</c:f>
              <c:strCache>
                <c:ptCount val="1"/>
                <c:pt idx="0">
                  <c:v>180 days</c:v>
                </c:pt>
              </c:strCache>
            </c:strRef>
          </c:tx>
          <c:invertIfNegative val="0"/>
          <c:dLbls>
            <c:numFmt formatCode="#,##0" sourceLinked="0"/>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Backgrounding!$C$86</c:f>
              <c:strCache>
                <c:ptCount val="1"/>
                <c:pt idx="0">
                  <c:v>Backgrounding Gross Revenue ($/head)</c:v>
                </c:pt>
              </c:strCache>
            </c:strRef>
          </c:cat>
          <c:val>
            <c:numRef>
              <c:f>Backgrounding!$H$86</c:f>
              <c:numCache>
                <c:formatCode>"$"#,##0.00</c:formatCode>
                <c:ptCount val="1"/>
                <c:pt idx="0">
                  <c:v>2595.3215077441664</c:v>
                </c:pt>
              </c:numCache>
            </c:numRef>
          </c:val>
          <c:extLst>
            <c:ext xmlns:c16="http://schemas.microsoft.com/office/drawing/2014/chart" uri="{C3380CC4-5D6E-409C-BE32-E72D297353CC}">
              <c16:uniqueId val="{00000003-30F9-44D4-B5F5-9DBD10656A7E}"/>
            </c:ext>
          </c:extLst>
        </c:ser>
        <c:dLbls>
          <c:showLegendKey val="0"/>
          <c:showVal val="0"/>
          <c:showCatName val="0"/>
          <c:showSerName val="0"/>
          <c:showPercent val="0"/>
          <c:showBubbleSize val="0"/>
        </c:dLbls>
        <c:gapWidth val="75"/>
        <c:overlap val="-25"/>
        <c:axId val="703227632"/>
        <c:axId val="1"/>
      </c:barChart>
      <c:catAx>
        <c:axId val="703227632"/>
        <c:scaling>
          <c:orientation val="minMax"/>
        </c:scaling>
        <c:delete val="1"/>
        <c:axPos val="b"/>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a:solidFill>
                <a:schemeClr val="tx1">
                  <a:tint val="75000"/>
                  <a:shade val="95000"/>
                  <a:satMod val="105000"/>
                  <a:alpha val="50000"/>
                </a:schemeClr>
              </a:solidFill>
            </a:ln>
          </c:spPr>
        </c:majorGridlines>
        <c:title>
          <c:tx>
            <c:rich>
              <a:bodyPr/>
              <a:lstStyle/>
              <a:p>
                <a:pPr>
                  <a:defRPr/>
                </a:pPr>
                <a:r>
                  <a:rPr lang="en-CA"/>
                  <a:t>$/head</a:t>
                </a:r>
              </a:p>
            </c:rich>
          </c:tx>
          <c:overlay val="0"/>
        </c:title>
        <c:numFmt formatCode="#,##0" sourceLinked="0"/>
        <c:majorTickMark val="none"/>
        <c:minorTickMark val="none"/>
        <c:tickLblPos val="nextTo"/>
        <c:spPr>
          <a:ln w="9525">
            <a:noFill/>
          </a:ln>
        </c:spPr>
        <c:txPr>
          <a:bodyPr rot="0" vert="horz"/>
          <a:lstStyle/>
          <a:p>
            <a:pPr>
              <a:defRPr/>
            </a:pPr>
            <a:endParaRPr lang="en-US"/>
          </a:p>
        </c:txPr>
        <c:crossAx val="703227632"/>
        <c:crosses val="autoZero"/>
        <c:crossBetween val="between"/>
      </c:valAx>
    </c:plotArea>
    <c:legend>
      <c:legendPos val="b"/>
      <c:overlay val="0"/>
    </c:legend>
    <c:plotVisOnly val="1"/>
    <c:dispBlanksAs val="gap"/>
    <c:showDLblsOverMax val="0"/>
  </c:chart>
  <c:spPr>
    <a:ln w="25400">
      <a:solidFill>
        <a:schemeClr val="tx1"/>
      </a:solidFill>
    </a:ln>
  </c:spPr>
  <c:txPr>
    <a:bodyPr/>
    <a:lstStyle/>
    <a:p>
      <a:pPr>
        <a:defRPr sz="11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pPr>
            <a:r>
              <a:rPr lang="en-CA" sz="1400" b="1"/>
              <a:t>Projected Net Return from Backgrounding  </a:t>
            </a:r>
          </a:p>
        </c:rich>
      </c:tx>
      <c:layout>
        <c:manualLayout>
          <c:xMode val="edge"/>
          <c:yMode val="edge"/>
          <c:x val="0.14694644720614741"/>
          <c:y val="5.0293897085798074E-2"/>
        </c:manualLayout>
      </c:layout>
      <c:overlay val="0"/>
    </c:title>
    <c:autoTitleDeleted val="0"/>
    <c:plotArea>
      <c:layout>
        <c:manualLayout>
          <c:layoutTarget val="inner"/>
          <c:xMode val="edge"/>
          <c:yMode val="edge"/>
          <c:x val="0.21280679364620708"/>
          <c:y val="0.26453825801895248"/>
          <c:w val="0.76193535441097382"/>
          <c:h val="0.55486404109603249"/>
        </c:manualLayout>
      </c:layout>
      <c:barChart>
        <c:barDir val="col"/>
        <c:grouping val="clustered"/>
        <c:varyColors val="0"/>
        <c:ser>
          <c:idx val="3"/>
          <c:order val="0"/>
          <c:tx>
            <c:strRef>
              <c:f>Backgrounding!$E$84</c:f>
              <c:strCache>
                <c:ptCount val="1"/>
                <c:pt idx="0">
                  <c:v>30 days</c:v>
                </c:pt>
              </c:strCache>
            </c:strRef>
          </c:tx>
          <c:spPr>
            <a:solidFill>
              <a:schemeClr val="accent5"/>
            </a:solidFill>
            <a:ln>
              <a:solidFill>
                <a:schemeClr val="accent5"/>
              </a:solidFill>
            </a:ln>
          </c:spPr>
          <c:invertIfNegative val="0"/>
          <c:dLbls>
            <c:numFmt formatCode="&quot;$&quot;#,##0.0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Backgrounding!$E$88</c:f>
              <c:numCache>
                <c:formatCode>"$"#,##0.00</c:formatCode>
                <c:ptCount val="1"/>
                <c:pt idx="0">
                  <c:v>98.458178997678942</c:v>
                </c:pt>
              </c:numCache>
            </c:numRef>
          </c:val>
          <c:extLst>
            <c:ext xmlns:c16="http://schemas.microsoft.com/office/drawing/2014/chart" uri="{C3380CC4-5D6E-409C-BE32-E72D297353CC}">
              <c16:uniqueId val="{00000001-F669-4956-B258-45261217A3E6}"/>
            </c:ext>
          </c:extLst>
        </c:ser>
        <c:ser>
          <c:idx val="0"/>
          <c:order val="1"/>
          <c:tx>
            <c:strRef>
              <c:f>Backgrounding!$F$84</c:f>
              <c:strCache>
                <c:ptCount val="1"/>
                <c:pt idx="0">
                  <c:v>90 days</c:v>
                </c:pt>
              </c:strCache>
            </c:strRef>
          </c:tx>
          <c:invertIfNegative val="0"/>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Backgrounding!$C$88</c:f>
              <c:strCache>
                <c:ptCount val="1"/>
                <c:pt idx="0">
                  <c:v>Net Return from Backgrounding vs.Sell at Weaning($/head)</c:v>
                </c:pt>
              </c:strCache>
            </c:strRef>
          </c:cat>
          <c:val>
            <c:numRef>
              <c:f>Backgrounding!$F$88</c:f>
              <c:numCache>
                <c:formatCode>"$"#,##0.00</c:formatCode>
                <c:ptCount val="1"/>
                <c:pt idx="0">
                  <c:v>-133.07615541853022</c:v>
                </c:pt>
              </c:numCache>
            </c:numRef>
          </c:val>
          <c:extLst>
            <c:ext xmlns:c16="http://schemas.microsoft.com/office/drawing/2014/chart" uri="{C3380CC4-5D6E-409C-BE32-E72D297353CC}">
              <c16:uniqueId val="{00000000-F0CE-418C-8BC0-FCF2BA7839CE}"/>
            </c:ext>
          </c:extLst>
        </c:ser>
        <c:ser>
          <c:idx val="1"/>
          <c:order val="2"/>
          <c:tx>
            <c:strRef>
              <c:f>Backgrounding!$G$84</c:f>
              <c:strCache>
                <c:ptCount val="1"/>
                <c:pt idx="0">
                  <c:v>120 days</c:v>
                </c:pt>
              </c:strCache>
            </c:strRef>
          </c:tx>
          <c:invertIfNegative val="0"/>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Backgrounding!$C$88</c:f>
              <c:strCache>
                <c:ptCount val="1"/>
                <c:pt idx="0">
                  <c:v>Net Return from Backgrounding vs.Sell at Weaning($/head)</c:v>
                </c:pt>
              </c:strCache>
            </c:strRef>
          </c:cat>
          <c:val>
            <c:numRef>
              <c:f>Backgrounding!$G$88</c:f>
              <c:numCache>
                <c:formatCode>"$"#,##0.00</c:formatCode>
                <c:ptCount val="1"/>
                <c:pt idx="0">
                  <c:v>-274.05907131326342</c:v>
                </c:pt>
              </c:numCache>
            </c:numRef>
          </c:val>
          <c:extLst>
            <c:ext xmlns:c16="http://schemas.microsoft.com/office/drawing/2014/chart" uri="{C3380CC4-5D6E-409C-BE32-E72D297353CC}">
              <c16:uniqueId val="{00000001-F0CE-418C-8BC0-FCF2BA7839CE}"/>
            </c:ext>
          </c:extLst>
        </c:ser>
        <c:ser>
          <c:idx val="2"/>
          <c:order val="3"/>
          <c:tx>
            <c:strRef>
              <c:f>Backgrounding!$H$84</c:f>
              <c:strCache>
                <c:ptCount val="1"/>
                <c:pt idx="0">
                  <c:v>180 days</c:v>
                </c:pt>
              </c:strCache>
            </c:strRef>
          </c:tx>
          <c:invertIfNegative val="0"/>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Backgrounding!$C$88</c:f>
              <c:strCache>
                <c:ptCount val="1"/>
                <c:pt idx="0">
                  <c:v>Net Return from Backgrounding vs.Sell at Weaning($/head)</c:v>
                </c:pt>
              </c:strCache>
            </c:strRef>
          </c:cat>
          <c:val>
            <c:numRef>
              <c:f>Backgrounding!$H$88</c:f>
              <c:numCache>
                <c:formatCode>"$"#,##0.00</c:formatCode>
                <c:ptCount val="1"/>
                <c:pt idx="0">
                  <c:v>-353.89126762514479</c:v>
                </c:pt>
              </c:numCache>
            </c:numRef>
          </c:val>
          <c:extLst>
            <c:ext xmlns:c16="http://schemas.microsoft.com/office/drawing/2014/chart" uri="{C3380CC4-5D6E-409C-BE32-E72D297353CC}">
              <c16:uniqueId val="{00000002-F0CE-418C-8BC0-FCF2BA7839CE}"/>
            </c:ext>
          </c:extLst>
        </c:ser>
        <c:dLbls>
          <c:showLegendKey val="0"/>
          <c:showVal val="0"/>
          <c:showCatName val="0"/>
          <c:showSerName val="0"/>
          <c:showPercent val="0"/>
          <c:showBubbleSize val="0"/>
        </c:dLbls>
        <c:gapWidth val="75"/>
        <c:overlap val="-25"/>
        <c:axId val="703225664"/>
        <c:axId val="1"/>
      </c:barChart>
      <c:catAx>
        <c:axId val="70322566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a:solidFill>
                <a:schemeClr val="tx1">
                  <a:tint val="75000"/>
                  <a:shade val="95000"/>
                  <a:satMod val="105000"/>
                  <a:alpha val="50000"/>
                </a:schemeClr>
              </a:solidFill>
            </a:ln>
          </c:spPr>
        </c:majorGridlines>
        <c:title>
          <c:tx>
            <c:rich>
              <a:bodyPr/>
              <a:lstStyle/>
              <a:p>
                <a:pPr>
                  <a:defRPr/>
                </a:pPr>
                <a:r>
                  <a:rPr lang="en-CA"/>
                  <a:t>$/head</a:t>
                </a:r>
              </a:p>
            </c:rich>
          </c:tx>
          <c:overlay val="0"/>
        </c:title>
        <c:numFmt formatCode="0" sourceLinked="0"/>
        <c:majorTickMark val="none"/>
        <c:minorTickMark val="none"/>
        <c:tickLblPos val="nextTo"/>
        <c:spPr>
          <a:ln w="9525">
            <a:noFill/>
          </a:ln>
        </c:spPr>
        <c:txPr>
          <a:bodyPr rot="0" vert="horz"/>
          <a:lstStyle/>
          <a:p>
            <a:pPr>
              <a:defRPr/>
            </a:pPr>
            <a:endParaRPr lang="en-US"/>
          </a:p>
        </c:txPr>
        <c:crossAx val="703225664"/>
        <c:crosses val="autoZero"/>
        <c:crossBetween val="between"/>
      </c:valAx>
    </c:plotArea>
    <c:legend>
      <c:legendPos val="b"/>
      <c:overlay val="0"/>
    </c:legend>
    <c:plotVisOnly val="1"/>
    <c:dispBlanksAs val="gap"/>
    <c:showDLblsOverMax val="0"/>
  </c:chart>
  <c:spPr>
    <a:ln w="25400">
      <a:solidFill>
        <a:schemeClr val="tx1"/>
      </a:solidFill>
    </a:ln>
  </c:spPr>
  <c:txPr>
    <a:bodyPr/>
    <a:lstStyle/>
    <a:p>
      <a:pPr>
        <a:defRPr sz="11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Backgrounding!$P$39</c:f>
              <c:strCache>
                <c:ptCount val="1"/>
                <c:pt idx="0">
                  <c:v>Cost per Head, 30 days</c:v>
                </c:pt>
              </c:strCache>
            </c:strRef>
          </c:tx>
          <c:dPt>
            <c:idx val="0"/>
            <c:bubble3D val="0"/>
            <c:spPr>
              <a:solidFill>
                <a:schemeClr val="accent1">
                  <a:shade val="50000"/>
                </a:schemeClr>
              </a:solidFill>
              <a:ln w="19050">
                <a:solidFill>
                  <a:schemeClr val="lt1"/>
                </a:solidFill>
              </a:ln>
              <a:effectLst/>
            </c:spPr>
            <c:extLst>
              <c:ext xmlns:c16="http://schemas.microsoft.com/office/drawing/2014/chart" uri="{C3380CC4-5D6E-409C-BE32-E72D297353CC}">
                <c16:uniqueId val="{00000001-5EB4-474D-9D51-5AC7C4B6F4B9}"/>
              </c:ext>
            </c:extLst>
          </c:dPt>
          <c:dPt>
            <c:idx val="1"/>
            <c:bubble3D val="0"/>
            <c:spPr>
              <a:solidFill>
                <a:schemeClr val="accent1">
                  <a:shade val="70000"/>
                </a:schemeClr>
              </a:solidFill>
              <a:ln w="19050">
                <a:solidFill>
                  <a:schemeClr val="lt1"/>
                </a:solidFill>
              </a:ln>
              <a:effectLst/>
            </c:spPr>
            <c:extLst>
              <c:ext xmlns:c16="http://schemas.microsoft.com/office/drawing/2014/chart" uri="{C3380CC4-5D6E-409C-BE32-E72D297353CC}">
                <c16:uniqueId val="{00000003-5EB4-474D-9D51-5AC7C4B6F4B9}"/>
              </c:ext>
            </c:extLst>
          </c:dPt>
          <c:dPt>
            <c:idx val="2"/>
            <c:bubble3D val="0"/>
            <c:spPr>
              <a:solidFill>
                <a:schemeClr val="accent1">
                  <a:shade val="90000"/>
                </a:schemeClr>
              </a:solidFill>
              <a:ln w="19050">
                <a:solidFill>
                  <a:schemeClr val="lt1"/>
                </a:solidFill>
              </a:ln>
              <a:effectLst/>
            </c:spPr>
            <c:extLst>
              <c:ext xmlns:c16="http://schemas.microsoft.com/office/drawing/2014/chart" uri="{C3380CC4-5D6E-409C-BE32-E72D297353CC}">
                <c16:uniqueId val="{00000005-5EB4-474D-9D51-5AC7C4B6F4B9}"/>
              </c:ext>
            </c:extLst>
          </c:dPt>
          <c:dPt>
            <c:idx val="3"/>
            <c:bubble3D val="0"/>
            <c:spPr>
              <a:solidFill>
                <a:schemeClr val="accent1">
                  <a:tint val="90000"/>
                </a:schemeClr>
              </a:solidFill>
              <a:ln w="19050">
                <a:solidFill>
                  <a:schemeClr val="lt1"/>
                </a:solidFill>
              </a:ln>
              <a:effectLst/>
            </c:spPr>
            <c:extLst>
              <c:ext xmlns:c16="http://schemas.microsoft.com/office/drawing/2014/chart" uri="{C3380CC4-5D6E-409C-BE32-E72D297353CC}">
                <c16:uniqueId val="{00000007-5EB4-474D-9D51-5AC7C4B6F4B9}"/>
              </c:ext>
            </c:extLst>
          </c:dPt>
          <c:dPt>
            <c:idx val="4"/>
            <c:bubble3D val="0"/>
            <c:spPr>
              <a:solidFill>
                <a:schemeClr val="accent1">
                  <a:tint val="70000"/>
                </a:schemeClr>
              </a:solidFill>
              <a:ln w="19050">
                <a:solidFill>
                  <a:schemeClr val="lt1"/>
                </a:solidFill>
              </a:ln>
              <a:effectLst/>
            </c:spPr>
            <c:extLst>
              <c:ext xmlns:c16="http://schemas.microsoft.com/office/drawing/2014/chart" uri="{C3380CC4-5D6E-409C-BE32-E72D297353CC}">
                <c16:uniqueId val="{00000009-5EB4-474D-9D51-5AC7C4B6F4B9}"/>
              </c:ext>
            </c:extLst>
          </c:dPt>
          <c:dPt>
            <c:idx val="5"/>
            <c:bubble3D val="0"/>
            <c:spPr>
              <a:solidFill>
                <a:schemeClr val="accent1">
                  <a:tint val="50000"/>
                </a:schemeClr>
              </a:solidFill>
              <a:ln w="19050">
                <a:solidFill>
                  <a:schemeClr val="lt1"/>
                </a:solidFill>
              </a:ln>
              <a:effectLst/>
            </c:spPr>
            <c:extLst>
              <c:ext xmlns:c16="http://schemas.microsoft.com/office/drawing/2014/chart" uri="{C3380CC4-5D6E-409C-BE32-E72D297353CC}">
                <c16:uniqueId val="{0000000B-5EB4-474D-9D51-5AC7C4B6F4B9}"/>
              </c:ext>
            </c:extLst>
          </c:dPt>
          <c:dLbls>
            <c:dLbl>
              <c:idx val="1"/>
              <c:layout>
                <c:manualLayout>
                  <c:x val="0.2853777367279457"/>
                  <c:y val="9.32619697761141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EB4-474D-9D51-5AC7C4B6F4B9}"/>
                </c:ext>
              </c:extLst>
            </c:dLbl>
            <c:dLbl>
              <c:idx val="5"/>
              <c:layout>
                <c:manualLayout>
                  <c:x val="-2.7544282952301127E-2"/>
                  <c:y val="2.52213894186527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EB4-474D-9D51-5AC7C4B6F4B9}"/>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(Backgrounding!$O$40,Backgrounding!$O$42,Backgrounding!$O$44,Backgrounding!$O$46,Backgrounding!$O$48,Backgrounding!$O$50)</c:f>
              <c:strCache>
                <c:ptCount val="6"/>
                <c:pt idx="0">
                  <c:v>Feed</c:v>
                </c:pt>
                <c:pt idx="1">
                  <c:v>Vet &amp; Med</c:v>
                </c:pt>
                <c:pt idx="2">
                  <c:v>Yardage</c:v>
                </c:pt>
                <c:pt idx="3">
                  <c:v>Interest</c:v>
                </c:pt>
                <c:pt idx="4">
                  <c:v>Death Loss</c:v>
                </c:pt>
                <c:pt idx="5">
                  <c:v>Marketing</c:v>
                </c:pt>
              </c:strCache>
            </c:strRef>
          </c:cat>
          <c:val>
            <c:numRef>
              <c:f>(Backgrounding!$P$40,Backgrounding!$P$42,Backgrounding!$P$44,Backgrounding!$P$46,Backgrounding!$P$48,Backgrounding!$P$50)</c:f>
              <c:numCache>
                <c:formatCode>"$"#,##0</c:formatCode>
                <c:ptCount val="6"/>
                <c:pt idx="0">
                  <c:v>60.6</c:v>
                </c:pt>
                <c:pt idx="1">
                  <c:v>26.28</c:v>
                </c:pt>
                <c:pt idx="2">
                  <c:v>18</c:v>
                </c:pt>
                <c:pt idx="3">
                  <c:v>14.349688356164384</c:v>
                </c:pt>
                <c:pt idx="4">
                  <c:v>77.476171155273505</c:v>
                </c:pt>
                <c:pt idx="5">
                  <c:v>20</c:v>
                </c:pt>
              </c:numCache>
            </c:numRef>
          </c:val>
          <c:extLst>
            <c:ext xmlns:c16="http://schemas.microsoft.com/office/drawing/2014/chart" uri="{C3380CC4-5D6E-409C-BE32-E72D297353CC}">
              <c16:uniqueId val="{00000000-3319-4F00-ABBC-C633F0528279}"/>
            </c:ext>
          </c:extLst>
        </c:ser>
        <c:dLbls>
          <c:showLegendKey val="0"/>
          <c:showVal val="0"/>
          <c:showCatName val="0"/>
          <c:showSerName val="0"/>
          <c:showPercent val="0"/>
          <c:showBubbleSize val="0"/>
          <c:showLeaderLines val="1"/>
        </c:dLbls>
        <c:firstSliceAng val="15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Backgrounding!$Q$39</c:f>
              <c:strCache>
                <c:ptCount val="1"/>
                <c:pt idx="0">
                  <c:v>Cost per Head, 90 days</c:v>
                </c:pt>
              </c:strCache>
            </c:strRef>
          </c:tx>
          <c:dPt>
            <c:idx val="0"/>
            <c:bubble3D val="0"/>
            <c:spPr>
              <a:solidFill>
                <a:schemeClr val="accent2">
                  <a:shade val="50000"/>
                </a:schemeClr>
              </a:solidFill>
              <a:ln w="19050">
                <a:solidFill>
                  <a:schemeClr val="lt1"/>
                </a:solidFill>
              </a:ln>
              <a:effectLst/>
            </c:spPr>
            <c:extLst>
              <c:ext xmlns:c16="http://schemas.microsoft.com/office/drawing/2014/chart" uri="{C3380CC4-5D6E-409C-BE32-E72D297353CC}">
                <c16:uniqueId val="{00000001-5EBF-4403-8E3D-198980075556}"/>
              </c:ext>
            </c:extLst>
          </c:dPt>
          <c:dPt>
            <c:idx val="1"/>
            <c:bubble3D val="0"/>
            <c:spPr>
              <a:solidFill>
                <a:schemeClr val="accent2">
                  <a:shade val="70000"/>
                </a:schemeClr>
              </a:solidFill>
              <a:ln w="19050">
                <a:solidFill>
                  <a:schemeClr val="lt1"/>
                </a:solidFill>
              </a:ln>
              <a:effectLst/>
            </c:spPr>
            <c:extLst>
              <c:ext xmlns:c16="http://schemas.microsoft.com/office/drawing/2014/chart" uri="{C3380CC4-5D6E-409C-BE32-E72D297353CC}">
                <c16:uniqueId val="{00000003-5EBF-4403-8E3D-198980075556}"/>
              </c:ext>
            </c:extLst>
          </c:dPt>
          <c:dPt>
            <c:idx val="2"/>
            <c:bubble3D val="0"/>
            <c:spPr>
              <a:solidFill>
                <a:schemeClr val="accent2">
                  <a:shade val="90000"/>
                </a:schemeClr>
              </a:solidFill>
              <a:ln w="19050">
                <a:solidFill>
                  <a:schemeClr val="lt1"/>
                </a:solidFill>
              </a:ln>
              <a:effectLst/>
            </c:spPr>
            <c:extLst>
              <c:ext xmlns:c16="http://schemas.microsoft.com/office/drawing/2014/chart" uri="{C3380CC4-5D6E-409C-BE32-E72D297353CC}">
                <c16:uniqueId val="{00000005-5EBF-4403-8E3D-198980075556}"/>
              </c:ext>
            </c:extLst>
          </c:dPt>
          <c:dPt>
            <c:idx val="3"/>
            <c:bubble3D val="0"/>
            <c:spPr>
              <a:solidFill>
                <a:schemeClr val="accent2">
                  <a:tint val="90000"/>
                </a:schemeClr>
              </a:solidFill>
              <a:ln w="19050">
                <a:solidFill>
                  <a:schemeClr val="lt1"/>
                </a:solidFill>
              </a:ln>
              <a:effectLst/>
            </c:spPr>
            <c:extLst>
              <c:ext xmlns:c16="http://schemas.microsoft.com/office/drawing/2014/chart" uri="{C3380CC4-5D6E-409C-BE32-E72D297353CC}">
                <c16:uniqueId val="{00000007-5EBF-4403-8E3D-198980075556}"/>
              </c:ext>
            </c:extLst>
          </c:dPt>
          <c:dPt>
            <c:idx val="4"/>
            <c:bubble3D val="0"/>
            <c:spPr>
              <a:solidFill>
                <a:schemeClr val="accent2">
                  <a:tint val="70000"/>
                </a:schemeClr>
              </a:solidFill>
              <a:ln w="19050">
                <a:solidFill>
                  <a:schemeClr val="lt1"/>
                </a:solidFill>
              </a:ln>
              <a:effectLst/>
            </c:spPr>
            <c:extLst>
              <c:ext xmlns:c16="http://schemas.microsoft.com/office/drawing/2014/chart" uri="{C3380CC4-5D6E-409C-BE32-E72D297353CC}">
                <c16:uniqueId val="{00000009-5EBF-4403-8E3D-198980075556}"/>
              </c:ext>
            </c:extLst>
          </c:dPt>
          <c:dPt>
            <c:idx val="5"/>
            <c:bubble3D val="0"/>
            <c:spPr>
              <a:solidFill>
                <a:schemeClr val="accent2">
                  <a:tint val="50000"/>
                </a:schemeClr>
              </a:solidFill>
              <a:ln w="19050">
                <a:solidFill>
                  <a:schemeClr val="lt1"/>
                </a:solidFill>
              </a:ln>
              <a:effectLst/>
            </c:spPr>
            <c:extLst>
              <c:ext xmlns:c16="http://schemas.microsoft.com/office/drawing/2014/chart" uri="{C3380CC4-5D6E-409C-BE32-E72D297353CC}">
                <c16:uniqueId val="{0000000B-5EBF-4403-8E3D-198980075556}"/>
              </c:ext>
            </c:extLst>
          </c:dPt>
          <c:dLbls>
            <c:dLbl>
              <c:idx val="1"/>
              <c:layout>
                <c:manualLayout>
                  <c:x val="1.8268010114114198E-2"/>
                  <c:y val="7.711988497086699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BF-4403-8E3D-198980075556}"/>
                </c:ext>
              </c:extLst>
            </c:dLbl>
            <c:dLbl>
              <c:idx val="4"/>
              <c:layout>
                <c:manualLayout>
                  <c:x val="5.7347514425133646E-2"/>
                  <c:y val="-2.0663654369390071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BF-4403-8E3D-198980075556}"/>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(Backgrounding!$O$40,Backgrounding!$O$42,Backgrounding!$O$44,Backgrounding!$O$46,Backgrounding!$O$48,Backgrounding!$O$50)</c:f>
              <c:strCache>
                <c:ptCount val="6"/>
                <c:pt idx="0">
                  <c:v>Feed</c:v>
                </c:pt>
                <c:pt idx="1">
                  <c:v>Vet &amp; Med</c:v>
                </c:pt>
                <c:pt idx="2">
                  <c:v>Yardage</c:v>
                </c:pt>
                <c:pt idx="3">
                  <c:v>Interest</c:v>
                </c:pt>
                <c:pt idx="4">
                  <c:v>Death Loss</c:v>
                </c:pt>
                <c:pt idx="5">
                  <c:v>Marketing</c:v>
                </c:pt>
              </c:strCache>
            </c:strRef>
          </c:cat>
          <c:val>
            <c:numRef>
              <c:f>(Backgrounding!$Q$40,Backgrounding!$Q$42,Backgrounding!$Q$44,Backgrounding!$Q$46,Backgrounding!$Q$48,Backgrounding!$Q$50)</c:f>
              <c:numCache>
                <c:formatCode>"$"#,##0</c:formatCode>
                <c:ptCount val="6"/>
                <c:pt idx="0">
                  <c:v>181.8</c:v>
                </c:pt>
                <c:pt idx="1">
                  <c:v>26.28</c:v>
                </c:pt>
                <c:pt idx="2">
                  <c:v>54</c:v>
                </c:pt>
                <c:pt idx="3">
                  <c:v>43.04906506849315</c:v>
                </c:pt>
                <c:pt idx="4">
                  <c:v>76.064780710823598</c:v>
                </c:pt>
                <c:pt idx="5">
                  <c:v>20</c:v>
                </c:pt>
              </c:numCache>
            </c:numRef>
          </c:val>
          <c:extLst>
            <c:ext xmlns:c16="http://schemas.microsoft.com/office/drawing/2014/chart" uri="{C3380CC4-5D6E-409C-BE32-E72D297353CC}">
              <c16:uniqueId val="{0000000C-5EBF-4403-8E3D-198980075556}"/>
            </c:ext>
          </c:extLst>
        </c:ser>
        <c:dLbls>
          <c:showLegendKey val="0"/>
          <c:showVal val="0"/>
          <c:showCatName val="0"/>
          <c:showSerName val="0"/>
          <c:showPercent val="0"/>
          <c:showBubbleSize val="0"/>
          <c:showLeaderLines val="1"/>
        </c:dLbls>
        <c:firstSliceAng val="15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Backgrounding!$R$39</c:f>
              <c:strCache>
                <c:ptCount val="1"/>
                <c:pt idx="0">
                  <c:v>Cost per Head, 120 days</c:v>
                </c:pt>
              </c:strCache>
            </c:strRef>
          </c:tx>
          <c:dPt>
            <c:idx val="0"/>
            <c:bubble3D val="0"/>
            <c:spPr>
              <a:solidFill>
                <a:schemeClr val="accent3">
                  <a:shade val="50000"/>
                </a:schemeClr>
              </a:solidFill>
              <a:ln w="19050">
                <a:solidFill>
                  <a:schemeClr val="lt1"/>
                </a:solidFill>
              </a:ln>
              <a:effectLst/>
            </c:spPr>
            <c:extLst>
              <c:ext xmlns:c16="http://schemas.microsoft.com/office/drawing/2014/chart" uri="{C3380CC4-5D6E-409C-BE32-E72D297353CC}">
                <c16:uniqueId val="{00000001-D53F-4AAC-A1A2-82963B50E932}"/>
              </c:ext>
            </c:extLst>
          </c:dPt>
          <c:dPt>
            <c:idx val="1"/>
            <c:bubble3D val="0"/>
            <c:spPr>
              <a:solidFill>
                <a:schemeClr val="accent3">
                  <a:shade val="70000"/>
                </a:schemeClr>
              </a:solidFill>
              <a:ln w="19050">
                <a:solidFill>
                  <a:schemeClr val="lt1"/>
                </a:solidFill>
              </a:ln>
              <a:effectLst/>
            </c:spPr>
            <c:extLst>
              <c:ext xmlns:c16="http://schemas.microsoft.com/office/drawing/2014/chart" uri="{C3380CC4-5D6E-409C-BE32-E72D297353CC}">
                <c16:uniqueId val="{00000003-D53F-4AAC-A1A2-82963B50E932}"/>
              </c:ext>
            </c:extLst>
          </c:dPt>
          <c:dPt>
            <c:idx val="2"/>
            <c:bubble3D val="0"/>
            <c:spPr>
              <a:solidFill>
                <a:schemeClr val="accent3">
                  <a:shade val="90000"/>
                </a:schemeClr>
              </a:solidFill>
              <a:ln w="19050">
                <a:solidFill>
                  <a:schemeClr val="lt1"/>
                </a:solidFill>
              </a:ln>
              <a:effectLst/>
            </c:spPr>
            <c:extLst>
              <c:ext xmlns:c16="http://schemas.microsoft.com/office/drawing/2014/chart" uri="{C3380CC4-5D6E-409C-BE32-E72D297353CC}">
                <c16:uniqueId val="{00000005-D53F-4AAC-A1A2-82963B50E932}"/>
              </c:ext>
            </c:extLst>
          </c:dPt>
          <c:dPt>
            <c:idx val="3"/>
            <c:bubble3D val="0"/>
            <c:spPr>
              <a:solidFill>
                <a:schemeClr val="accent3">
                  <a:tint val="90000"/>
                </a:schemeClr>
              </a:solidFill>
              <a:ln w="19050">
                <a:solidFill>
                  <a:schemeClr val="lt1"/>
                </a:solidFill>
              </a:ln>
              <a:effectLst/>
            </c:spPr>
            <c:extLst>
              <c:ext xmlns:c16="http://schemas.microsoft.com/office/drawing/2014/chart" uri="{C3380CC4-5D6E-409C-BE32-E72D297353CC}">
                <c16:uniqueId val="{00000007-D53F-4AAC-A1A2-82963B50E932}"/>
              </c:ext>
            </c:extLst>
          </c:dPt>
          <c:dPt>
            <c:idx val="4"/>
            <c:bubble3D val="0"/>
            <c:spPr>
              <a:solidFill>
                <a:schemeClr val="accent3">
                  <a:tint val="70000"/>
                </a:schemeClr>
              </a:solidFill>
              <a:ln w="19050">
                <a:solidFill>
                  <a:schemeClr val="lt1"/>
                </a:solidFill>
              </a:ln>
              <a:effectLst/>
            </c:spPr>
            <c:extLst>
              <c:ext xmlns:c16="http://schemas.microsoft.com/office/drawing/2014/chart" uri="{C3380CC4-5D6E-409C-BE32-E72D297353CC}">
                <c16:uniqueId val="{00000009-D53F-4AAC-A1A2-82963B50E932}"/>
              </c:ext>
            </c:extLst>
          </c:dPt>
          <c:dPt>
            <c:idx val="5"/>
            <c:bubble3D val="0"/>
            <c:spPr>
              <a:solidFill>
                <a:schemeClr val="accent3">
                  <a:tint val="50000"/>
                </a:schemeClr>
              </a:solidFill>
              <a:ln w="19050">
                <a:solidFill>
                  <a:schemeClr val="lt1"/>
                </a:solidFill>
              </a:ln>
              <a:effectLst/>
            </c:spPr>
            <c:extLst>
              <c:ext xmlns:c16="http://schemas.microsoft.com/office/drawing/2014/chart" uri="{C3380CC4-5D6E-409C-BE32-E72D297353CC}">
                <c16:uniqueId val="{0000000B-D53F-4AAC-A1A2-82963B50E932}"/>
              </c:ext>
            </c:extLst>
          </c:dPt>
          <c:dLbls>
            <c:dLbl>
              <c:idx val="3"/>
              <c:layout>
                <c:manualLayout>
                  <c:x val="4.3890720681544489E-2"/>
                  <c:y val="-7.1416530735667311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53F-4AAC-A1A2-82963B50E932}"/>
                </c:ext>
              </c:extLst>
            </c:dLbl>
            <c:dLbl>
              <c:idx val="4"/>
              <c:layout>
                <c:manualLayout>
                  <c:x val="8.0145166540914706E-2"/>
                  <c:y val="-2.391025931847061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53F-4AAC-A1A2-82963B50E932}"/>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(Backgrounding!$O$40,Backgrounding!$O$42,Backgrounding!$O$44,Backgrounding!$O$46,Backgrounding!$O$48,Backgrounding!$O$50)</c:f>
              <c:strCache>
                <c:ptCount val="6"/>
                <c:pt idx="0">
                  <c:v>Feed</c:v>
                </c:pt>
                <c:pt idx="1">
                  <c:v>Vet &amp; Med</c:v>
                </c:pt>
                <c:pt idx="2">
                  <c:v>Yardage</c:v>
                </c:pt>
                <c:pt idx="3">
                  <c:v>Interest</c:v>
                </c:pt>
                <c:pt idx="4">
                  <c:v>Death Loss</c:v>
                </c:pt>
                <c:pt idx="5">
                  <c:v>Marketing</c:v>
                </c:pt>
              </c:strCache>
            </c:strRef>
          </c:cat>
          <c:val>
            <c:numRef>
              <c:f>(Backgrounding!$R$40,Backgrounding!$R$42,Backgrounding!$R$44,Backgrounding!$R$46,Backgrounding!$R$48,Backgrounding!$R$50)</c:f>
              <c:numCache>
                <c:formatCode>"$"#,##0</c:formatCode>
                <c:ptCount val="6"/>
                <c:pt idx="0">
                  <c:v>242.4</c:v>
                </c:pt>
                <c:pt idx="1">
                  <c:v>26.28</c:v>
                </c:pt>
                <c:pt idx="2">
                  <c:v>72</c:v>
                </c:pt>
                <c:pt idx="3">
                  <c:v>57.398753424657535</c:v>
                </c:pt>
                <c:pt idx="4">
                  <c:v>74.579216972517344</c:v>
                </c:pt>
                <c:pt idx="5">
                  <c:v>20</c:v>
                </c:pt>
              </c:numCache>
            </c:numRef>
          </c:val>
          <c:extLst>
            <c:ext xmlns:c16="http://schemas.microsoft.com/office/drawing/2014/chart" uri="{C3380CC4-5D6E-409C-BE32-E72D297353CC}">
              <c16:uniqueId val="{0000000C-D53F-4AAC-A1A2-82963B50E932}"/>
            </c:ext>
          </c:extLst>
        </c:ser>
        <c:dLbls>
          <c:showLegendKey val="0"/>
          <c:showVal val="0"/>
          <c:showCatName val="0"/>
          <c:showSerName val="0"/>
          <c:showPercent val="0"/>
          <c:showBubbleSize val="0"/>
          <c:showLeaderLines val="1"/>
        </c:dLbls>
        <c:firstSliceAng val="15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Backgrounding!$S$39</c:f>
              <c:strCache>
                <c:ptCount val="1"/>
                <c:pt idx="0">
                  <c:v>Cost per Head, 180 days</c:v>
                </c:pt>
              </c:strCache>
            </c:strRef>
          </c:tx>
          <c:dPt>
            <c:idx val="0"/>
            <c:bubble3D val="0"/>
            <c:spPr>
              <a:solidFill>
                <a:schemeClr val="accent4">
                  <a:shade val="50000"/>
                </a:schemeClr>
              </a:solidFill>
              <a:ln w="19050">
                <a:solidFill>
                  <a:schemeClr val="lt1"/>
                </a:solidFill>
              </a:ln>
              <a:effectLst/>
            </c:spPr>
            <c:extLst>
              <c:ext xmlns:c16="http://schemas.microsoft.com/office/drawing/2014/chart" uri="{C3380CC4-5D6E-409C-BE32-E72D297353CC}">
                <c16:uniqueId val="{00000001-1F0C-4407-B846-8784F4FE3A00}"/>
              </c:ext>
            </c:extLst>
          </c:dPt>
          <c:dPt>
            <c:idx val="1"/>
            <c:bubble3D val="0"/>
            <c:spPr>
              <a:solidFill>
                <a:schemeClr val="accent4">
                  <a:shade val="70000"/>
                </a:schemeClr>
              </a:solidFill>
              <a:ln w="19050">
                <a:solidFill>
                  <a:schemeClr val="lt1"/>
                </a:solidFill>
              </a:ln>
              <a:effectLst/>
            </c:spPr>
            <c:extLst>
              <c:ext xmlns:c16="http://schemas.microsoft.com/office/drawing/2014/chart" uri="{C3380CC4-5D6E-409C-BE32-E72D297353CC}">
                <c16:uniqueId val="{00000003-1F0C-4407-B846-8784F4FE3A00}"/>
              </c:ext>
            </c:extLst>
          </c:dPt>
          <c:dPt>
            <c:idx val="2"/>
            <c:bubble3D val="0"/>
            <c:spPr>
              <a:solidFill>
                <a:schemeClr val="accent4">
                  <a:shade val="90000"/>
                </a:schemeClr>
              </a:solidFill>
              <a:ln w="19050">
                <a:solidFill>
                  <a:schemeClr val="lt1"/>
                </a:solidFill>
              </a:ln>
              <a:effectLst/>
            </c:spPr>
            <c:extLst>
              <c:ext xmlns:c16="http://schemas.microsoft.com/office/drawing/2014/chart" uri="{C3380CC4-5D6E-409C-BE32-E72D297353CC}">
                <c16:uniqueId val="{00000005-1F0C-4407-B846-8784F4FE3A00}"/>
              </c:ext>
            </c:extLst>
          </c:dPt>
          <c:dPt>
            <c:idx val="3"/>
            <c:bubble3D val="0"/>
            <c:spPr>
              <a:solidFill>
                <a:schemeClr val="accent4">
                  <a:tint val="90000"/>
                </a:schemeClr>
              </a:solidFill>
              <a:ln w="19050">
                <a:solidFill>
                  <a:schemeClr val="lt1"/>
                </a:solidFill>
              </a:ln>
              <a:effectLst/>
            </c:spPr>
            <c:extLst>
              <c:ext xmlns:c16="http://schemas.microsoft.com/office/drawing/2014/chart" uri="{C3380CC4-5D6E-409C-BE32-E72D297353CC}">
                <c16:uniqueId val="{00000007-1F0C-4407-B846-8784F4FE3A00}"/>
              </c:ext>
            </c:extLst>
          </c:dPt>
          <c:dPt>
            <c:idx val="4"/>
            <c:bubble3D val="0"/>
            <c:spPr>
              <a:solidFill>
                <a:schemeClr val="accent4">
                  <a:tint val="70000"/>
                </a:schemeClr>
              </a:solidFill>
              <a:ln w="19050">
                <a:solidFill>
                  <a:schemeClr val="lt1"/>
                </a:solidFill>
              </a:ln>
              <a:effectLst/>
            </c:spPr>
            <c:extLst>
              <c:ext xmlns:c16="http://schemas.microsoft.com/office/drawing/2014/chart" uri="{C3380CC4-5D6E-409C-BE32-E72D297353CC}">
                <c16:uniqueId val="{00000009-1F0C-4407-B846-8784F4FE3A00}"/>
              </c:ext>
            </c:extLst>
          </c:dPt>
          <c:dPt>
            <c:idx val="5"/>
            <c:bubble3D val="0"/>
            <c:spPr>
              <a:solidFill>
                <a:schemeClr val="accent4">
                  <a:tint val="50000"/>
                </a:schemeClr>
              </a:solidFill>
              <a:ln w="19050">
                <a:solidFill>
                  <a:schemeClr val="lt1"/>
                </a:solidFill>
              </a:ln>
              <a:effectLst/>
            </c:spPr>
            <c:extLst>
              <c:ext xmlns:c16="http://schemas.microsoft.com/office/drawing/2014/chart" uri="{C3380CC4-5D6E-409C-BE32-E72D297353CC}">
                <c16:uniqueId val="{0000000B-1F0C-4407-B846-8784F4FE3A00}"/>
              </c:ext>
            </c:extLst>
          </c:dPt>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(Backgrounding!$O$40,Backgrounding!$O$42,Backgrounding!$O$44,Backgrounding!$O$46,Backgrounding!$O$48,Backgrounding!$O$50)</c:f>
              <c:strCache>
                <c:ptCount val="6"/>
                <c:pt idx="0">
                  <c:v>Feed</c:v>
                </c:pt>
                <c:pt idx="1">
                  <c:v>Vet &amp; Med</c:v>
                </c:pt>
                <c:pt idx="2">
                  <c:v>Yardage</c:v>
                </c:pt>
                <c:pt idx="3">
                  <c:v>Interest</c:v>
                </c:pt>
                <c:pt idx="4">
                  <c:v>Death Loss</c:v>
                </c:pt>
                <c:pt idx="5">
                  <c:v>Marketing</c:v>
                </c:pt>
              </c:strCache>
            </c:strRef>
          </c:cat>
          <c:val>
            <c:numRef>
              <c:f>(Backgrounding!$S$40,Backgrounding!$S$42,Backgrounding!$S$44,Backgrounding!$S$46,Backgrounding!$S$48,Backgrounding!$S$50)</c:f>
              <c:numCache>
                <c:formatCode>"$"#,##0</c:formatCode>
                <c:ptCount val="6"/>
                <c:pt idx="0">
                  <c:v>363.6</c:v>
                </c:pt>
                <c:pt idx="1">
                  <c:v>26.28</c:v>
                </c:pt>
                <c:pt idx="2">
                  <c:v>108</c:v>
                </c:pt>
                <c:pt idx="3">
                  <c:v>86.098130136986299</c:v>
                </c:pt>
                <c:pt idx="4">
                  <c:v>77.859645232324993</c:v>
                </c:pt>
                <c:pt idx="5">
                  <c:v>20</c:v>
                </c:pt>
              </c:numCache>
            </c:numRef>
          </c:val>
          <c:extLst>
            <c:ext xmlns:c16="http://schemas.microsoft.com/office/drawing/2014/chart" uri="{C3380CC4-5D6E-409C-BE32-E72D297353CC}">
              <c16:uniqueId val="{0000000C-1F0C-4407-B846-8784F4FE3A00}"/>
            </c:ext>
          </c:extLst>
        </c:ser>
        <c:dLbls>
          <c:showLegendKey val="0"/>
          <c:showVal val="0"/>
          <c:showCatName val="0"/>
          <c:showSerName val="0"/>
          <c:showPercent val="0"/>
          <c:showBubbleSize val="0"/>
          <c:showLeaderLines val="1"/>
        </c:dLbls>
        <c:firstSliceAng val="15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I$38" lockText="1" noThreeD="1"/>
</file>

<file path=xl/ctrlProps/ctrlProp2.xml><?xml version="1.0" encoding="utf-8"?>
<formControlPr xmlns="http://schemas.microsoft.com/office/spreadsheetml/2009/9/main" objectType="CheckBox" checked="Checked" fmlaLink="$I26" lockText="1" noThreeD="1"/>
</file>

<file path=xl/ctrlProps/ctrlProp3.xml><?xml version="1.0" encoding="utf-8"?>
<formControlPr xmlns="http://schemas.microsoft.com/office/spreadsheetml/2009/9/main" objectType="CheckBox" checked="Checked" fmlaLink="$I$77"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1363916</xdr:colOff>
      <xdr:row>91</xdr:row>
      <xdr:rowOff>26304</xdr:rowOff>
    </xdr:from>
    <xdr:to>
      <xdr:col>3</xdr:col>
      <xdr:colOff>1292679</xdr:colOff>
      <xdr:row>104</xdr:row>
      <xdr:rowOff>171606</xdr:rowOff>
    </xdr:to>
    <xdr:graphicFrame macro="">
      <xdr:nvGraphicFramePr>
        <xdr:cNvPr id="8490400" name="Chart 1">
          <a:extLst>
            <a:ext uri="{FF2B5EF4-FFF2-40B4-BE49-F238E27FC236}">
              <a16:creationId xmlns:a16="http://schemas.microsoft.com/office/drawing/2014/main" id="{00000000-0008-0000-0000-0000A08D8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1877784</xdr:colOff>
      <xdr:row>91</xdr:row>
      <xdr:rowOff>5439</xdr:rowOff>
    </xdr:from>
    <xdr:to>
      <xdr:col>6</xdr:col>
      <xdr:colOff>1198335</xdr:colOff>
      <xdr:row>104</xdr:row>
      <xdr:rowOff>170497</xdr:rowOff>
    </xdr:to>
    <xdr:graphicFrame macro="">
      <xdr:nvGraphicFramePr>
        <xdr:cNvPr id="8490401" name="Chart 2">
          <a:extLst>
            <a:ext uri="{FF2B5EF4-FFF2-40B4-BE49-F238E27FC236}">
              <a16:creationId xmlns:a16="http://schemas.microsoft.com/office/drawing/2014/main" id="{00000000-0008-0000-0000-0000A18D8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2341154</xdr:colOff>
      <xdr:row>3</xdr:row>
      <xdr:rowOff>398231</xdr:rowOff>
    </xdr:to>
    <xdr:pic>
      <xdr:nvPicPr>
        <xdr:cNvPr id="8490402" name="Picture 4">
          <a:extLst>
            <a:ext uri="{FF2B5EF4-FFF2-40B4-BE49-F238E27FC236}">
              <a16:creationId xmlns:a16="http://schemas.microsoft.com/office/drawing/2014/main" id="{00000000-0008-0000-0000-0000A28D8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9337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3192780</xdr:colOff>
          <xdr:row>36</xdr:row>
          <xdr:rowOff>685800</xdr:rowOff>
        </xdr:from>
        <xdr:to>
          <xdr:col>2</xdr:col>
          <xdr:colOff>3649980</xdr:colOff>
          <xdr:row>38</xdr:row>
          <xdr:rowOff>106680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3261360</xdr:colOff>
          <xdr:row>24</xdr:row>
          <xdr:rowOff>701040</xdr:rowOff>
        </xdr:from>
        <xdr:to>
          <xdr:col>2</xdr:col>
          <xdr:colOff>3649980</xdr:colOff>
          <xdr:row>26</xdr:row>
          <xdr:rowOff>91440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59232</xdr:colOff>
      <xdr:row>52</xdr:row>
      <xdr:rowOff>75238</xdr:rowOff>
    </xdr:from>
    <xdr:to>
      <xdr:col>2</xdr:col>
      <xdr:colOff>2916294</xdr:colOff>
      <xdr:row>65</xdr:row>
      <xdr:rowOff>130937</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3014303</xdr:colOff>
      <xdr:row>52</xdr:row>
      <xdr:rowOff>76146</xdr:rowOff>
    </xdr:from>
    <xdr:to>
      <xdr:col>3</xdr:col>
      <xdr:colOff>1600068</xdr:colOff>
      <xdr:row>65</xdr:row>
      <xdr:rowOff>131223</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1726507</xdr:colOff>
      <xdr:row>52</xdr:row>
      <xdr:rowOff>97702</xdr:rowOff>
    </xdr:from>
    <xdr:to>
      <xdr:col>5</xdr:col>
      <xdr:colOff>1047191</xdr:colOff>
      <xdr:row>65</xdr:row>
      <xdr:rowOff>151509</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1191773</xdr:colOff>
      <xdr:row>52</xdr:row>
      <xdr:rowOff>78440</xdr:rowOff>
    </xdr:from>
    <xdr:to>
      <xdr:col>7</xdr:col>
      <xdr:colOff>1256714</xdr:colOff>
      <xdr:row>65</xdr:row>
      <xdr:rowOff>135833</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259080</xdr:colOff>
          <xdr:row>75</xdr:row>
          <xdr:rowOff>144780</xdr:rowOff>
        </xdr:from>
        <xdr:to>
          <xdr:col>3</xdr:col>
          <xdr:colOff>495300</xdr:colOff>
          <xdr:row>77</xdr:row>
          <xdr:rowOff>114300</xdr:rowOff>
        </xdr:to>
        <xdr:sp macro="" textlink="">
          <xdr:nvSpPr>
            <xdr:cNvPr id="1032" name="Check Box 8" descr="&#10;"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uangh\Downloads\394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Huiting Huang" id="{0B4E75E6-4568-43A8-9F79-E7E9EBF31023}" userId="S::huangh@canfax.ca::6c5f81cb-c4e6-4d9b-9c0b-414f08ad292b" providerId="AD"/>
  <person displayName="Leah Rodvang" id="{C4A91017-7113-4454-B684-193CA5D9917A}" userId="S::rodvangl@beefresearch.ca::f13f5fb7-4244-4c85-a2fd-1cac9d60ca4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9" dT="2024-09-25T21:46:47.70" personId="{C4A91017-7113-4454-B684-193CA5D9917A}" id="{B1FE97C1-5582-4694-9EDC-6E2CD3D32F1A}">
    <text>Does it matter that some of these that depend on the check box have an IF formula and some don't?</text>
  </threadedComment>
  <threadedComment ref="E29" dT="2024-10-21T16:48:20.38" personId="{0B4E75E6-4568-43A8-9F79-E7E9EBF31023}" id="{AA7F0241-3EF4-4D9F-8C6D-0DB8F589B762}" parentId="{B1FE97C1-5582-4694-9EDC-6E2CD3D32F1A}">
    <text xml:space="preserve">It doesn’t affect the result, but I changed formulas in line 33 to be consistent. </text>
  </threadedComment>
  <threadedComment ref="D77" dT="2024-10-10T20:36:04.10" personId="{C4A91017-7113-4454-B684-193CA5D9917A}" id="{E2871733-8917-4308-AB91-DDADA64CDA7E}">
    <text>When should a producer use the prices above compared to the price projection? They can create very different net returns so it might be helpful to know why to choose one or the other.</text>
  </threadedComment>
  <threadedComment ref="D77" dT="2024-10-21T16:58:08.58" personId="{0B4E75E6-4568-43A8-9F79-E7E9EBF31023}" id="{5A52835D-8DB2-4A51-A090-DA21C9675EDB}" parentId="{E2871733-8917-4308-AB91-DDADA64CDA7E}">
    <text>Added</text>
  </threadedComment>
  <threadedComment ref="H92" dT="2024-10-02T17:04:58.21" personId="{C4A91017-7113-4454-B684-193CA5D9917A}" id="{C59FB7B0-51FC-4302-AED1-5CC39E661F81}">
    <text>I changed the colours so the bars were the same colour for the same variable</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cfxproapp.canfax.ca/"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W92"/>
  <sheetViews>
    <sheetView tabSelected="1" zoomScale="90" zoomScaleNormal="90" zoomScaleSheetLayoutView="106" zoomScalePageLayoutView="70" workbookViewId="0">
      <selection activeCell="T96" sqref="T96"/>
    </sheetView>
  </sheetViews>
  <sheetFormatPr defaultColWidth="8.7109375" defaultRowHeight="15"/>
  <cols>
    <col min="1" max="1" width="3.28515625" style="6" customWidth="1"/>
    <col min="2" max="2" width="7" style="6" customWidth="1"/>
    <col min="3" max="3" width="63.7109375" style="6" customWidth="1"/>
    <col min="4" max="4" width="29.42578125" style="6" customWidth="1"/>
    <col min="5" max="5" width="23.28515625" style="6" customWidth="1"/>
    <col min="6" max="6" width="21.5703125" style="6" customWidth="1"/>
    <col min="7" max="8" width="20.28515625" style="6" customWidth="1"/>
    <col min="9" max="9" width="16" style="6" hidden="1" customWidth="1"/>
    <col min="10" max="10" width="15.7109375" style="6" hidden="1" customWidth="1"/>
    <col min="11" max="11" width="16.28515625" style="6" hidden="1" customWidth="1"/>
    <col min="12" max="14" width="10.7109375" style="6" hidden="1" customWidth="1"/>
    <col min="15" max="15" width="13" style="6" hidden="1" customWidth="1"/>
    <col min="16" max="19" width="10.7109375" style="6" hidden="1" customWidth="1"/>
    <col min="20" max="21" width="10.7109375" style="6" customWidth="1"/>
    <col min="22" max="22" width="9.28515625" style="6" customWidth="1"/>
    <col min="23" max="25" width="14.42578125" style="9" customWidth="1"/>
    <col min="26" max="26" width="9.28515625" style="9" customWidth="1"/>
    <col min="27" max="30" width="9.28515625" style="10" customWidth="1"/>
    <col min="31" max="31" width="11.28515625" style="9" customWidth="1"/>
    <col min="32" max="35" width="9.28515625" style="9" customWidth="1"/>
    <col min="36" max="36" width="11.28515625" style="9" bestFit="1" customWidth="1"/>
    <col min="37" max="37" width="21.42578125" style="9" customWidth="1"/>
    <col min="38" max="38" width="11.28515625" style="9" customWidth="1"/>
    <col min="39" max="39" width="14.28515625" style="9" customWidth="1"/>
    <col min="40" max="56" width="9.28515625" style="9" customWidth="1"/>
    <col min="57" max="16384" width="8.7109375" style="9"/>
  </cols>
  <sheetData>
    <row r="1" spans="1:49" ht="15.6">
      <c r="B1" s="7"/>
      <c r="C1" s="7"/>
      <c r="D1" s="7"/>
      <c r="E1" s="7"/>
      <c r="F1" s="7"/>
      <c r="G1" s="7"/>
      <c r="H1" s="7"/>
      <c r="I1" s="7"/>
      <c r="J1" s="7"/>
      <c r="K1" s="7"/>
      <c r="L1" s="8"/>
      <c r="AE1" s="10"/>
    </row>
    <row r="2" spans="1:49" ht="21">
      <c r="A2" s="11"/>
      <c r="B2" s="11"/>
      <c r="C2" s="11"/>
      <c r="D2" s="2" t="s">
        <v>0</v>
      </c>
      <c r="F2" s="11"/>
      <c r="G2" s="11"/>
      <c r="H2" s="11"/>
      <c r="I2" s="11"/>
      <c r="J2" s="11"/>
      <c r="K2" s="11"/>
      <c r="L2" s="8"/>
      <c r="AE2" s="10"/>
    </row>
    <row r="3" spans="1:49" ht="18">
      <c r="A3" s="11"/>
      <c r="B3" s="11"/>
      <c r="C3" s="11"/>
      <c r="D3" s="1" t="s">
        <v>1</v>
      </c>
      <c r="F3" s="11"/>
      <c r="G3" s="11"/>
      <c r="H3" s="11"/>
      <c r="I3" s="11"/>
      <c r="J3" s="11"/>
      <c r="K3" s="11"/>
      <c r="L3" s="8"/>
      <c r="AE3" s="10"/>
    </row>
    <row r="4" spans="1:49" ht="35.450000000000003" customHeight="1">
      <c r="A4" s="11"/>
      <c r="B4" s="11"/>
      <c r="C4" s="11"/>
      <c r="D4" s="186" t="s">
        <v>2</v>
      </c>
      <c r="E4" s="186"/>
      <c r="F4" s="186"/>
      <c r="G4" s="186"/>
      <c r="H4" s="186"/>
      <c r="I4" s="11"/>
      <c r="J4" s="11"/>
      <c r="K4" s="11"/>
      <c r="L4" s="8"/>
      <c r="P4" s="42"/>
      <c r="AE4" s="10"/>
    </row>
    <row r="5" spans="1:49" ht="18">
      <c r="A5" s="11"/>
      <c r="B5" s="11"/>
      <c r="C5" s="11"/>
      <c r="D5" s="5" t="s">
        <v>3</v>
      </c>
      <c r="F5" s="11"/>
      <c r="G5" s="11"/>
      <c r="H5" s="11"/>
      <c r="I5" s="11"/>
      <c r="J5" s="11"/>
      <c r="K5" s="11"/>
      <c r="L5" s="8"/>
      <c r="AE5" s="10"/>
    </row>
    <row r="6" spans="1:49" ht="16.5" customHeight="1" thickBot="1">
      <c r="A6" s="11"/>
      <c r="B6" s="11"/>
      <c r="C6" s="11"/>
      <c r="D6" s="12"/>
      <c r="E6" s="11"/>
      <c r="F6" s="11"/>
      <c r="G6" s="11"/>
      <c r="H6" s="11"/>
      <c r="I6" s="11"/>
      <c r="J6" s="11"/>
      <c r="K6" s="11"/>
      <c r="L6" s="8"/>
      <c r="S6" s="7"/>
      <c r="T6" s="7"/>
      <c r="U6" s="7"/>
      <c r="V6" s="7"/>
      <c r="W6" s="19"/>
      <c r="AE6" s="10"/>
    </row>
    <row r="7" spans="1:49" ht="18" thickBot="1">
      <c r="C7" s="204" t="s">
        <v>4</v>
      </c>
      <c r="D7" s="205"/>
      <c r="E7" s="206"/>
      <c r="W7" s="6"/>
      <c r="X7" s="6"/>
      <c r="AE7" s="10"/>
    </row>
    <row r="8" spans="1:49" ht="39" customHeight="1" thickBot="1">
      <c r="C8" s="210" t="s">
        <v>5</v>
      </c>
      <c r="D8" s="211"/>
      <c r="E8" s="212"/>
      <c r="K8" s="170" t="s">
        <v>6</v>
      </c>
      <c r="W8" s="6"/>
      <c r="X8" s="6"/>
      <c r="AE8" s="10"/>
    </row>
    <row r="9" spans="1:49" ht="15.6">
      <c r="C9" s="13"/>
      <c r="D9" s="14" t="s">
        <v>7</v>
      </c>
      <c r="E9" s="176" t="s">
        <v>8</v>
      </c>
      <c r="F9" s="80"/>
      <c r="K9" s="169" t="s">
        <v>9</v>
      </c>
      <c r="R9" s="7"/>
      <c r="W9" s="6"/>
      <c r="AE9" s="10"/>
    </row>
    <row r="10" spans="1:49" ht="15.6">
      <c r="C10" s="15"/>
      <c r="D10" s="16" t="s">
        <v>10</v>
      </c>
      <c r="E10" s="177">
        <v>45565</v>
      </c>
      <c r="K10" s="169" t="s">
        <v>8</v>
      </c>
      <c r="R10" s="7"/>
      <c r="W10" s="6"/>
      <c r="AE10" s="10"/>
    </row>
    <row r="11" spans="1:49" ht="16.149999999999999" thickBot="1">
      <c r="C11" s="17"/>
      <c r="D11" s="18" t="s">
        <v>11</v>
      </c>
      <c r="E11" s="180">
        <v>550</v>
      </c>
      <c r="K11" s="169" t="s">
        <v>12</v>
      </c>
      <c r="R11" s="7"/>
      <c r="W11" s="6"/>
      <c r="AE11" s="10"/>
    </row>
    <row r="12" spans="1:49" ht="15.6">
      <c r="K12" s="169" t="s">
        <v>13</v>
      </c>
      <c r="R12" s="7"/>
      <c r="W12" s="6"/>
      <c r="AE12" s="10"/>
      <c r="AK12" s="19"/>
      <c r="AT12" s="19"/>
      <c r="AW12" s="19"/>
    </row>
    <row r="13" spans="1:49" ht="16.149999999999999" thickBot="1">
      <c r="K13" s="169" t="s">
        <v>14</v>
      </c>
      <c r="R13" s="7"/>
      <c r="W13" s="6"/>
      <c r="AE13" s="10"/>
      <c r="AL13" s="20"/>
      <c r="AM13" s="21"/>
      <c r="AU13" s="20"/>
      <c r="AV13" s="21"/>
    </row>
    <row r="14" spans="1:49" ht="17.45">
      <c r="C14" s="93" t="s">
        <v>15</v>
      </c>
      <c r="D14" s="94"/>
      <c r="E14" s="95"/>
      <c r="K14" s="169" t="s">
        <v>16</v>
      </c>
      <c r="R14" s="7"/>
      <c r="W14" s="6"/>
      <c r="AE14" s="10"/>
      <c r="AK14" s="22"/>
      <c r="AL14" s="23"/>
      <c r="AM14" s="23"/>
      <c r="AT14" s="22"/>
      <c r="AU14" s="23"/>
      <c r="AV14" s="23"/>
    </row>
    <row r="15" spans="1:49" ht="39.6" customHeight="1">
      <c r="B15" s="9"/>
      <c r="C15" s="213" t="s">
        <v>17</v>
      </c>
      <c r="D15" s="214"/>
      <c r="E15" s="215"/>
      <c r="R15" s="7"/>
      <c r="W15" s="6"/>
      <c r="AE15" s="10"/>
      <c r="AK15" s="22"/>
      <c r="AL15" s="23"/>
      <c r="AM15" s="23"/>
      <c r="AT15" s="22"/>
      <c r="AU15" s="23"/>
      <c r="AV15" s="23"/>
    </row>
    <row r="16" spans="1:49" ht="15.6">
      <c r="B16" s="9"/>
      <c r="C16" s="15"/>
      <c r="D16" s="16" t="s">
        <v>18</v>
      </c>
      <c r="E16" s="172">
        <f>+E10</f>
        <v>45565</v>
      </c>
      <c r="R16" s="7"/>
      <c r="W16" s="6"/>
      <c r="AE16" s="10"/>
      <c r="AK16" s="22"/>
      <c r="AL16" s="23"/>
      <c r="AM16" s="23"/>
      <c r="AT16" s="22"/>
      <c r="AU16" s="23"/>
      <c r="AV16" s="23"/>
    </row>
    <row r="17" spans="2:48" ht="15.6">
      <c r="B17" s="9"/>
      <c r="C17" s="15"/>
      <c r="D17" s="16" t="s">
        <v>19</v>
      </c>
      <c r="E17" s="25">
        <f>E11</f>
        <v>550</v>
      </c>
      <c r="R17" s="7"/>
      <c r="W17" s="6"/>
      <c r="AE17" s="10"/>
      <c r="AK17" s="22"/>
      <c r="AL17" s="23"/>
      <c r="AM17" s="23"/>
      <c r="AT17" s="22"/>
      <c r="AU17" s="23"/>
      <c r="AV17" s="23"/>
    </row>
    <row r="18" spans="2:48" ht="15.6">
      <c r="B18" s="9"/>
      <c r="C18" s="15"/>
      <c r="D18" s="16" t="s">
        <v>20</v>
      </c>
      <c r="E18" s="27">
        <v>3</v>
      </c>
      <c r="R18" s="7"/>
      <c r="W18" s="6"/>
      <c r="AE18" s="10"/>
      <c r="AK18" s="22"/>
      <c r="AL18" s="23"/>
      <c r="AM18" s="23"/>
      <c r="AT18" s="22"/>
      <c r="AU18" s="23"/>
      <c r="AV18" s="23"/>
    </row>
    <row r="19" spans="2:48" ht="15.6">
      <c r="B19" s="9"/>
      <c r="C19" s="15"/>
      <c r="D19" s="16" t="s">
        <v>21</v>
      </c>
      <c r="E19" s="28">
        <f>E17*(1-E18/100)</f>
        <v>533.5</v>
      </c>
      <c r="R19" s="7"/>
      <c r="W19" s="6"/>
      <c r="AK19" s="22"/>
      <c r="AL19" s="23"/>
      <c r="AM19" s="23"/>
      <c r="AT19" s="22"/>
      <c r="AU19" s="23"/>
      <c r="AV19" s="23"/>
    </row>
    <row r="20" spans="2:48" ht="15.6">
      <c r="B20" s="9"/>
      <c r="C20" s="15"/>
      <c r="D20" s="29" t="s">
        <v>22</v>
      </c>
      <c r="E20" s="79">
        <v>425</v>
      </c>
      <c r="R20" s="7"/>
      <c r="W20" s="6"/>
      <c r="AK20" s="22"/>
      <c r="AL20" s="23"/>
      <c r="AM20" s="23"/>
      <c r="AT20" s="22"/>
      <c r="AU20" s="23"/>
      <c r="AV20" s="23"/>
    </row>
    <row r="21" spans="2:48" ht="16.149999999999999" thickBot="1">
      <c r="B21" s="9"/>
      <c r="C21" s="17"/>
      <c r="D21" s="30" t="s">
        <v>23</v>
      </c>
      <c r="E21" s="71">
        <f>E20*E19/100</f>
        <v>2267.375</v>
      </c>
      <c r="R21" s="7"/>
      <c r="W21" s="6"/>
      <c r="X21" s="23"/>
      <c r="Y21" s="23"/>
      <c r="AK21" s="22"/>
      <c r="AL21" s="23"/>
      <c r="AM21" s="23"/>
      <c r="AT21" s="22"/>
      <c r="AU21" s="23"/>
      <c r="AV21" s="23"/>
    </row>
    <row r="22" spans="2:48" ht="15.6">
      <c r="C22" s="29"/>
      <c r="D22" s="7"/>
      <c r="R22" s="7"/>
      <c r="W22" s="6"/>
      <c r="X22" s="23"/>
      <c r="Y22" s="23"/>
      <c r="AK22" s="22"/>
      <c r="AL22" s="23"/>
      <c r="AM22" s="23"/>
      <c r="AT22" s="22"/>
      <c r="AU22" s="23"/>
      <c r="AV22" s="23"/>
    </row>
    <row r="23" spans="2:48" ht="15.75" customHeight="1" thickBot="1">
      <c r="C23" s="29"/>
      <c r="D23" s="7"/>
      <c r="R23" s="7"/>
      <c r="W23" s="6"/>
      <c r="X23" s="23"/>
      <c r="Y23" s="23"/>
    </row>
    <row r="24" spans="2:48" ht="18.600000000000001" customHeight="1">
      <c r="C24" s="195" t="s">
        <v>24</v>
      </c>
      <c r="D24" s="196"/>
      <c r="E24" s="196"/>
      <c r="F24" s="196"/>
      <c r="G24" s="196"/>
      <c r="H24" s="197"/>
      <c r="R24" s="7"/>
      <c r="T24" s="32"/>
      <c r="U24" s="23"/>
      <c r="V24" s="23"/>
      <c r="X24" s="10"/>
      <c r="Y24" s="10"/>
      <c r="Z24" s="10"/>
      <c r="AB24" s="9"/>
      <c r="AC24" s="9"/>
      <c r="AD24" s="9"/>
      <c r="AH24" s="19"/>
    </row>
    <row r="25" spans="2:48" ht="58.5" customHeight="1">
      <c r="C25" s="201" t="s">
        <v>25</v>
      </c>
      <c r="D25" s="202"/>
      <c r="E25" s="202"/>
      <c r="F25" s="202"/>
      <c r="G25" s="202"/>
      <c r="H25" s="203"/>
      <c r="R25" s="7"/>
      <c r="T25" s="32"/>
      <c r="U25" s="23"/>
      <c r="V25" s="23"/>
      <c r="X25" s="10"/>
      <c r="Y25" s="10"/>
      <c r="Z25" s="10"/>
      <c r="AB25" s="9"/>
      <c r="AC25" s="9"/>
      <c r="AD25" s="9"/>
      <c r="AI25" s="20"/>
      <c r="AJ25" s="21"/>
    </row>
    <row r="26" spans="2:48" ht="19.5" customHeight="1">
      <c r="C26" s="181"/>
      <c r="D26" s="84" t="s">
        <v>26</v>
      </c>
      <c r="E26" s="85"/>
      <c r="F26" s="85"/>
      <c r="G26" s="85"/>
      <c r="H26" s="86"/>
      <c r="I26" s="185" t="b">
        <v>1</v>
      </c>
      <c r="R26" s="7"/>
      <c r="T26" s="32"/>
      <c r="U26" s="23"/>
      <c r="V26" s="23"/>
      <c r="X26" s="10"/>
      <c r="Y26" s="10"/>
      <c r="Z26" s="10"/>
      <c r="AB26" s="9"/>
      <c r="AC26" s="9"/>
      <c r="AD26" s="9"/>
      <c r="AG26" s="10"/>
      <c r="AH26" s="22"/>
      <c r="AI26" s="23"/>
      <c r="AJ26" s="23"/>
    </row>
    <row r="27" spans="2:48" ht="19.5" customHeight="1">
      <c r="C27" s="139" t="s">
        <v>27</v>
      </c>
      <c r="D27" s="140"/>
      <c r="E27" s="141">
        <v>30</v>
      </c>
      <c r="F27" s="141">
        <v>90</v>
      </c>
      <c r="G27" s="141">
        <v>120</v>
      </c>
      <c r="H27" s="142">
        <v>180</v>
      </c>
      <c r="R27" s="7"/>
      <c r="T27" s="32"/>
      <c r="U27" s="23"/>
      <c r="V27" s="23"/>
      <c r="X27" s="10"/>
      <c r="Y27" s="10"/>
      <c r="Z27" s="10"/>
      <c r="AB27" s="9"/>
      <c r="AC27" s="9"/>
      <c r="AD27" s="9"/>
      <c r="AG27" s="10"/>
      <c r="AH27" s="22"/>
      <c r="AI27" s="23"/>
      <c r="AJ27" s="23"/>
    </row>
    <row r="28" spans="2:48" ht="19.5" customHeight="1">
      <c r="C28" s="143" t="s">
        <v>28</v>
      </c>
      <c r="D28" s="144"/>
      <c r="E28" s="145">
        <f>E16+E27</f>
        <v>45595</v>
      </c>
      <c r="F28" s="145">
        <f>E16+F27</f>
        <v>45655</v>
      </c>
      <c r="G28" s="145">
        <f>E16+G27</f>
        <v>45685</v>
      </c>
      <c r="H28" s="146">
        <f>E16+H27</f>
        <v>45745</v>
      </c>
      <c r="I28" s="26"/>
      <c r="R28" s="7"/>
      <c r="T28" s="32"/>
      <c r="U28" s="23"/>
      <c r="V28" s="23"/>
      <c r="X28" s="10"/>
      <c r="Y28" s="10"/>
      <c r="Z28" s="10"/>
      <c r="AB28" s="9"/>
      <c r="AC28" s="9"/>
      <c r="AD28" s="9"/>
      <c r="AG28" s="10"/>
      <c r="AH28" s="22"/>
      <c r="AI28" s="23"/>
      <c r="AJ28" s="23"/>
    </row>
    <row r="29" spans="2:48" ht="19.5" customHeight="1">
      <c r="C29" s="192" t="s">
        <v>29</v>
      </c>
      <c r="D29" s="171">
        <v>2</v>
      </c>
      <c r="E29" s="156">
        <f>IF($I26=TRUE,$D29,"")</f>
        <v>2</v>
      </c>
      <c r="F29" s="156">
        <f>IF($I26=TRUE,$D29,"")</f>
        <v>2</v>
      </c>
      <c r="G29" s="157">
        <f>IF($I26=TRUE,$D29,"")</f>
        <v>2</v>
      </c>
      <c r="H29" s="158">
        <f>IF($I26=TRUE,$D29,"")</f>
        <v>2</v>
      </c>
      <c r="I29" s="6" t="s">
        <v>30</v>
      </c>
      <c r="R29" s="7"/>
      <c r="T29" s="32"/>
      <c r="U29" s="23"/>
      <c r="V29" s="23"/>
      <c r="X29" s="10"/>
      <c r="Y29" s="10"/>
      <c r="Z29" s="10"/>
      <c r="AB29" s="9"/>
      <c r="AC29" s="9"/>
      <c r="AD29" s="9"/>
      <c r="AG29" s="10"/>
      <c r="AH29" s="22"/>
      <c r="AI29" s="23"/>
      <c r="AJ29" s="23"/>
    </row>
    <row r="30" spans="2:48" ht="19.5" customHeight="1">
      <c r="C30" s="191"/>
      <c r="D30" s="148"/>
      <c r="E30" s="149">
        <v>2.2000000000000002</v>
      </c>
      <c r="F30" s="149">
        <v>2.2000000000000002</v>
      </c>
      <c r="G30" s="149">
        <v>2.2000000000000002</v>
      </c>
      <c r="H30" s="150">
        <v>2.2000000000000002</v>
      </c>
      <c r="I30" s="6" t="s">
        <v>30</v>
      </c>
      <c r="R30" s="7"/>
      <c r="T30" s="32"/>
      <c r="U30" s="23"/>
      <c r="V30" s="23"/>
      <c r="X30" s="10"/>
      <c r="Y30" s="10"/>
      <c r="Z30" s="10"/>
      <c r="AB30" s="9"/>
      <c r="AC30" s="9"/>
      <c r="AD30" s="9"/>
      <c r="AG30" s="10"/>
      <c r="AH30" s="22"/>
      <c r="AI30" s="23"/>
      <c r="AJ30" s="23"/>
    </row>
    <row r="31" spans="2:48" ht="19.5" customHeight="1">
      <c r="C31" s="143" t="s">
        <v>31</v>
      </c>
      <c r="D31" s="144"/>
      <c r="E31" s="151">
        <f>+E32-$E$17</f>
        <v>60</v>
      </c>
      <c r="F31" s="151">
        <f>+F32-$E$17</f>
        <v>180</v>
      </c>
      <c r="G31" s="152">
        <f>+G32-$E$17</f>
        <v>240</v>
      </c>
      <c r="H31" s="153">
        <f>+H32-$E$17</f>
        <v>360</v>
      </c>
      <c r="J31" s="16"/>
      <c r="R31" s="7"/>
      <c r="T31" s="32"/>
      <c r="U31" s="23"/>
      <c r="V31" s="23"/>
      <c r="X31" s="10"/>
      <c r="Y31" s="10"/>
      <c r="Z31" s="10"/>
      <c r="AB31" s="9"/>
      <c r="AC31" s="9"/>
      <c r="AD31" s="9"/>
      <c r="AG31" s="10"/>
      <c r="AH31" s="22"/>
      <c r="AI31" s="23"/>
      <c r="AJ31" s="23"/>
    </row>
    <row r="32" spans="2:48" ht="19.5" customHeight="1">
      <c r="C32" s="143" t="s">
        <v>32</v>
      </c>
      <c r="D32" s="144"/>
      <c r="E32" s="154">
        <f>IF(I26=TRUE,E17+E29*E27,E17+E27*E30)</f>
        <v>610</v>
      </c>
      <c r="F32" s="154">
        <f>IF(I26=TRUE,E17+F29*F27,E17+F27*F30)</f>
        <v>730</v>
      </c>
      <c r="G32" s="154">
        <f>IF(I26=TRUE,E17+G29*G27,E17+G27*G30)</f>
        <v>790</v>
      </c>
      <c r="H32" s="155">
        <f>IF(I26=TRUE,E17+H29*H27,E17+H27*H30)</f>
        <v>910</v>
      </c>
      <c r="R32" s="7"/>
      <c r="T32" s="32"/>
      <c r="U32" s="23"/>
      <c r="V32" s="23"/>
      <c r="X32" s="10"/>
      <c r="Y32" s="10"/>
      <c r="Z32" s="10"/>
      <c r="AB32" s="9"/>
      <c r="AC32" s="9"/>
      <c r="AD32" s="9"/>
      <c r="AG32" s="10"/>
      <c r="AH32" s="22"/>
      <c r="AI32" s="23"/>
      <c r="AJ32" s="23"/>
    </row>
    <row r="33" spans="3:36" ht="19.5" customHeight="1">
      <c r="C33" s="192" t="s">
        <v>20</v>
      </c>
      <c r="D33" s="147">
        <v>3</v>
      </c>
      <c r="E33" s="156">
        <f>IF($I26=TRUE,$D33,"")</f>
        <v>3</v>
      </c>
      <c r="F33" s="156">
        <f>IF($I26=TRUE,$D33,"")</f>
        <v>3</v>
      </c>
      <c r="G33" s="157">
        <f>IF($I26=TRUE,$D33,"")</f>
        <v>3</v>
      </c>
      <c r="H33" s="158">
        <f>IF($I26=TRUE,$D33,"")</f>
        <v>3</v>
      </c>
      <c r="I33" s="173" t="s">
        <v>30</v>
      </c>
      <c r="R33" s="7"/>
      <c r="T33" s="32"/>
      <c r="U33" s="23"/>
      <c r="V33" s="23"/>
      <c r="X33" s="10"/>
      <c r="Y33" s="10"/>
      <c r="Z33" s="10"/>
      <c r="AB33" s="9"/>
      <c r="AC33" s="9"/>
      <c r="AD33" s="9"/>
      <c r="AG33" s="10"/>
      <c r="AH33" s="22"/>
      <c r="AI33" s="23"/>
      <c r="AJ33" s="23"/>
    </row>
    <row r="34" spans="3:36" ht="19.5" customHeight="1">
      <c r="C34" s="191"/>
      <c r="D34" s="148"/>
      <c r="E34" s="149">
        <v>3.5</v>
      </c>
      <c r="F34" s="149">
        <v>3</v>
      </c>
      <c r="G34" s="149">
        <v>3</v>
      </c>
      <c r="H34" s="150">
        <v>3</v>
      </c>
      <c r="I34" s="6" t="s">
        <v>30</v>
      </c>
      <c r="R34" s="7"/>
      <c r="T34" s="9"/>
      <c r="U34" s="9"/>
      <c r="V34" s="9"/>
      <c r="X34" s="10"/>
      <c r="Y34" s="10"/>
      <c r="Z34" s="10"/>
      <c r="AB34" s="9"/>
      <c r="AC34" s="9"/>
      <c r="AD34" s="9"/>
      <c r="AG34" s="10"/>
      <c r="AH34" s="22"/>
      <c r="AI34" s="23"/>
      <c r="AJ34" s="23"/>
    </row>
    <row r="35" spans="3:36" ht="16.149999999999999" thickBot="1">
      <c r="C35" s="47" t="s">
        <v>21</v>
      </c>
      <c r="D35" s="48"/>
      <c r="E35" s="49">
        <f>IF(I26=TRUE,E32*(1-E33/100),E32*(1-E34/100))</f>
        <v>591.69999999999993</v>
      </c>
      <c r="F35" s="49">
        <f>IF(I26=TRUE,F32*(1-F33/100),F32*(1-F34/100))</f>
        <v>708.1</v>
      </c>
      <c r="G35" s="49">
        <f>IF(I26=TRUE,G32*(1-G33/100),G32*(1-G34/100))</f>
        <v>766.3</v>
      </c>
      <c r="H35" s="50">
        <f>IF(I26=TRUE,H32*(1-H33/100),H32*(1-H34/100))</f>
        <v>882.69999999999993</v>
      </c>
      <c r="R35" s="7"/>
      <c r="T35" s="9"/>
      <c r="U35" s="9"/>
      <c r="V35" s="9"/>
      <c r="X35" s="10"/>
      <c r="Y35" s="10"/>
      <c r="Z35" s="10"/>
      <c r="AB35" s="9"/>
      <c r="AC35" s="9"/>
      <c r="AD35" s="9"/>
      <c r="AG35" s="10"/>
      <c r="AH35" s="22"/>
      <c r="AI35" s="23"/>
      <c r="AJ35" s="23"/>
    </row>
    <row r="36" spans="3:36" ht="17.45">
      <c r="C36" s="207" t="s">
        <v>33</v>
      </c>
      <c r="D36" s="208"/>
      <c r="E36" s="208"/>
      <c r="F36" s="208"/>
      <c r="G36" s="208"/>
      <c r="H36" s="209"/>
      <c r="I36" s="82"/>
      <c r="R36" s="7"/>
      <c r="T36" s="9"/>
      <c r="U36" s="9"/>
      <c r="V36" s="9"/>
      <c r="X36" s="10"/>
      <c r="Y36" s="10"/>
      <c r="Z36" s="10"/>
      <c r="AB36" s="9"/>
      <c r="AC36" s="9"/>
      <c r="AD36" s="9"/>
    </row>
    <row r="37" spans="3:36" ht="59.65" customHeight="1">
      <c r="C37" s="198" t="s">
        <v>34</v>
      </c>
      <c r="D37" s="199"/>
      <c r="E37" s="199"/>
      <c r="F37" s="199"/>
      <c r="G37" s="199"/>
      <c r="H37" s="200"/>
      <c r="I37" s="83"/>
      <c r="K37" s="163" t="s">
        <v>35</v>
      </c>
      <c r="L37" s="162"/>
      <c r="M37" s="162"/>
      <c r="N37" s="162"/>
      <c r="O37" s="162"/>
      <c r="P37" s="162"/>
      <c r="Q37" s="162"/>
      <c r="R37" s="163"/>
      <c r="S37" s="162"/>
      <c r="T37" s="9"/>
      <c r="U37" s="9"/>
      <c r="V37" s="9"/>
      <c r="X37" s="10"/>
      <c r="Y37" s="10"/>
      <c r="Z37" s="10"/>
      <c r="AB37" s="9"/>
      <c r="AC37" s="9"/>
      <c r="AD37" s="9"/>
    </row>
    <row r="38" spans="3:36" ht="19.149999999999999" customHeight="1">
      <c r="C38" s="182"/>
      <c r="D38" s="102" t="s">
        <v>36</v>
      </c>
      <c r="E38" s="87"/>
      <c r="F38" s="87"/>
      <c r="G38" s="87"/>
      <c r="H38" s="88"/>
      <c r="I38" s="183" t="b">
        <v>1</v>
      </c>
      <c r="K38" s="162" t="s">
        <v>37</v>
      </c>
      <c r="L38" s="162"/>
      <c r="M38" s="162"/>
      <c r="N38" s="162"/>
      <c r="O38" s="162"/>
      <c r="P38" s="162"/>
      <c r="Q38" s="162"/>
      <c r="R38" s="163"/>
      <c r="S38" s="162"/>
      <c r="T38" s="9"/>
      <c r="U38" s="9"/>
      <c r="V38" s="9"/>
      <c r="X38" s="10"/>
      <c r="Y38" s="10"/>
      <c r="Z38" s="10"/>
      <c r="AB38" s="9"/>
      <c r="AC38" s="9"/>
      <c r="AD38" s="9"/>
    </row>
    <row r="39" spans="3:36" ht="19.149999999999999" customHeight="1">
      <c r="C39" s="190" t="s">
        <v>38</v>
      </c>
      <c r="D39" s="89">
        <v>2.02</v>
      </c>
      <c r="E39" s="68">
        <f>D39</f>
        <v>2.02</v>
      </c>
      <c r="F39" s="68">
        <f>D39</f>
        <v>2.02</v>
      </c>
      <c r="G39" s="68">
        <f>D39</f>
        <v>2.02</v>
      </c>
      <c r="H39" s="69">
        <f>D39</f>
        <v>2.02</v>
      </c>
      <c r="I39" s="33" t="s">
        <v>30</v>
      </c>
      <c r="K39" s="164">
        <f>$D39*E27</f>
        <v>60.6</v>
      </c>
      <c r="L39" s="164">
        <f>$D39*F27</f>
        <v>181.8</v>
      </c>
      <c r="M39" s="164">
        <f>$D39*G27</f>
        <v>242.4</v>
      </c>
      <c r="N39" s="164">
        <f>$D39*H27</f>
        <v>363.6</v>
      </c>
      <c r="O39" s="162"/>
      <c r="P39" s="165" t="str">
        <f>"Cost per Head, "&amp;E27&amp;" days"</f>
        <v>Cost per Head, 30 days</v>
      </c>
      <c r="Q39" s="165" t="str">
        <f>"Cost per Head, "&amp;F27&amp;" days"</f>
        <v>Cost per Head, 90 days</v>
      </c>
      <c r="R39" s="165" t="str">
        <f>"Cost per Head, "&amp;G27&amp;" days"</f>
        <v>Cost per Head, 120 days</v>
      </c>
      <c r="S39" s="165" t="str">
        <f>"Cost per Head, "&amp;H27&amp;" days"</f>
        <v>Cost per Head, 180 days</v>
      </c>
      <c r="T39" s="9"/>
      <c r="U39" s="9"/>
      <c r="V39" s="9"/>
      <c r="X39" s="10"/>
      <c r="Y39" s="10"/>
      <c r="Z39" s="10"/>
      <c r="AB39" s="9"/>
      <c r="AC39" s="9"/>
      <c r="AD39" s="9"/>
    </row>
    <row r="40" spans="3:36" ht="19.149999999999999" customHeight="1">
      <c r="C40" s="191"/>
      <c r="D40" s="113"/>
      <c r="E40" s="114">
        <v>2.4</v>
      </c>
      <c r="F40" s="114">
        <v>2.2000000000000002</v>
      </c>
      <c r="G40" s="114">
        <v>2</v>
      </c>
      <c r="H40" s="115">
        <v>1.8</v>
      </c>
      <c r="I40" s="33" t="s">
        <v>30</v>
      </c>
      <c r="K40" s="164">
        <f>E40*E27</f>
        <v>72</v>
      </c>
      <c r="L40" s="164">
        <f>F40*F27</f>
        <v>198.00000000000003</v>
      </c>
      <c r="M40" s="164">
        <f>G40*G27</f>
        <v>240</v>
      </c>
      <c r="N40" s="164">
        <f>H40*H27</f>
        <v>324</v>
      </c>
      <c r="O40" s="162" t="s">
        <v>39</v>
      </c>
      <c r="P40" s="166">
        <f>IF($I$38=TRUE,K39,K40)</f>
        <v>60.6</v>
      </c>
      <c r="Q40" s="166">
        <f t="shared" ref="Q40:S40" si="0">IF($I$38=TRUE,L39,L40)</f>
        <v>181.8</v>
      </c>
      <c r="R40" s="166">
        <f t="shared" si="0"/>
        <v>242.4</v>
      </c>
      <c r="S40" s="166">
        <f t="shared" si="0"/>
        <v>363.6</v>
      </c>
      <c r="T40" s="9"/>
      <c r="U40" s="9"/>
      <c r="V40" s="9"/>
      <c r="X40" s="10"/>
      <c r="Y40" s="10"/>
      <c r="Z40" s="10"/>
      <c r="AB40" s="9"/>
      <c r="AC40" s="9"/>
      <c r="AD40" s="9"/>
    </row>
    <row r="41" spans="3:36" ht="19.149999999999999" customHeight="1">
      <c r="C41" s="192" t="s">
        <v>40</v>
      </c>
      <c r="D41" s="116">
        <v>26.28</v>
      </c>
      <c r="E41" s="117">
        <f>+$D$41</f>
        <v>26.28</v>
      </c>
      <c r="F41" s="117">
        <f>+$D$41</f>
        <v>26.28</v>
      </c>
      <c r="G41" s="117">
        <f>+$D$41</f>
        <v>26.28</v>
      </c>
      <c r="H41" s="118">
        <f>+$D$41</f>
        <v>26.28</v>
      </c>
      <c r="I41" s="12" t="s">
        <v>30</v>
      </c>
      <c r="K41" s="164">
        <f>E41</f>
        <v>26.28</v>
      </c>
      <c r="L41" s="164">
        <f t="shared" ref="K41:N42" si="1">F41</f>
        <v>26.28</v>
      </c>
      <c r="M41" s="164">
        <f t="shared" si="1"/>
        <v>26.28</v>
      </c>
      <c r="N41" s="164">
        <f t="shared" si="1"/>
        <v>26.28</v>
      </c>
      <c r="O41" s="162"/>
      <c r="P41" s="166"/>
      <c r="Q41" s="166"/>
      <c r="R41" s="166"/>
      <c r="S41" s="166"/>
      <c r="T41" s="9"/>
      <c r="U41" s="9"/>
      <c r="V41" s="9"/>
      <c r="X41" s="10"/>
      <c r="Y41" s="10"/>
      <c r="Z41" s="10"/>
      <c r="AB41" s="9"/>
      <c r="AC41" s="9"/>
      <c r="AD41" s="9"/>
    </row>
    <row r="42" spans="3:36" ht="19.149999999999999" customHeight="1">
      <c r="C42" s="191"/>
      <c r="D42" s="113"/>
      <c r="E42" s="114">
        <v>15</v>
      </c>
      <c r="F42" s="114">
        <v>16</v>
      </c>
      <c r="G42" s="114">
        <v>16</v>
      </c>
      <c r="H42" s="115">
        <v>16</v>
      </c>
      <c r="I42" s="33" t="s">
        <v>30</v>
      </c>
      <c r="K42" s="164">
        <f t="shared" si="1"/>
        <v>15</v>
      </c>
      <c r="L42" s="164">
        <f t="shared" si="1"/>
        <v>16</v>
      </c>
      <c r="M42" s="164">
        <f t="shared" si="1"/>
        <v>16</v>
      </c>
      <c r="N42" s="164">
        <f t="shared" si="1"/>
        <v>16</v>
      </c>
      <c r="O42" s="162" t="s">
        <v>41</v>
      </c>
      <c r="P42" s="166">
        <f>IF($I$38=TRUE,K41,K42)</f>
        <v>26.28</v>
      </c>
      <c r="Q42" s="166">
        <f t="shared" ref="Q42:S42" si="2">IF($I$38=TRUE,L41,L42)</f>
        <v>26.28</v>
      </c>
      <c r="R42" s="166">
        <f t="shared" si="2"/>
        <v>26.28</v>
      </c>
      <c r="S42" s="166">
        <f t="shared" si="2"/>
        <v>26.28</v>
      </c>
      <c r="T42" s="9"/>
      <c r="U42" s="9"/>
      <c r="V42" s="9"/>
      <c r="X42" s="10"/>
      <c r="Y42" s="10"/>
      <c r="Z42" s="10"/>
      <c r="AB42" s="9"/>
      <c r="AC42" s="9"/>
      <c r="AD42" s="9"/>
    </row>
    <row r="43" spans="3:36" ht="19.149999999999999" customHeight="1">
      <c r="C43" s="192" t="s">
        <v>42</v>
      </c>
      <c r="D43" s="116">
        <v>0.6</v>
      </c>
      <c r="E43" s="117">
        <f>D43</f>
        <v>0.6</v>
      </c>
      <c r="F43" s="117">
        <f>D43</f>
        <v>0.6</v>
      </c>
      <c r="G43" s="117">
        <f>D43</f>
        <v>0.6</v>
      </c>
      <c r="H43" s="118">
        <f>D43</f>
        <v>0.6</v>
      </c>
      <c r="I43" s="12" t="s">
        <v>30</v>
      </c>
      <c r="K43" s="164">
        <f>E43*E27</f>
        <v>18</v>
      </c>
      <c r="L43" s="164">
        <f>F43*F27</f>
        <v>54</v>
      </c>
      <c r="M43" s="164">
        <f>G43*G27</f>
        <v>72</v>
      </c>
      <c r="N43" s="164">
        <f>H43*H27</f>
        <v>108</v>
      </c>
      <c r="O43" s="162"/>
      <c r="P43" s="166"/>
      <c r="Q43" s="166"/>
      <c r="R43" s="166"/>
      <c r="S43" s="166"/>
      <c r="T43" s="9"/>
      <c r="U43" s="9"/>
      <c r="V43" s="9"/>
      <c r="X43" s="10"/>
      <c r="Y43" s="10"/>
      <c r="Z43" s="10"/>
      <c r="AB43" s="9"/>
      <c r="AC43" s="9"/>
      <c r="AD43" s="9"/>
    </row>
    <row r="44" spans="3:36" ht="19.149999999999999" customHeight="1">
      <c r="C44" s="191"/>
      <c r="D44" s="113"/>
      <c r="E44" s="114">
        <v>0.75</v>
      </c>
      <c r="F44" s="114">
        <v>0.7</v>
      </c>
      <c r="G44" s="114">
        <v>0.7</v>
      </c>
      <c r="H44" s="119">
        <v>0.7</v>
      </c>
      <c r="I44" s="33" t="s">
        <v>30</v>
      </c>
      <c r="K44" s="164">
        <f>E44*E27</f>
        <v>22.5</v>
      </c>
      <c r="L44" s="164">
        <f>F44*F27</f>
        <v>62.999999999999993</v>
      </c>
      <c r="M44" s="164">
        <f>G44*G27</f>
        <v>84</v>
      </c>
      <c r="N44" s="164">
        <f>H44*H27</f>
        <v>125.99999999999999</v>
      </c>
      <c r="O44" s="162" t="s">
        <v>43</v>
      </c>
      <c r="P44" s="166">
        <f>IF($I$38=TRUE,K43,K44)</f>
        <v>18</v>
      </c>
      <c r="Q44" s="166">
        <f t="shared" ref="Q44" si="3">IF($I$38=TRUE,L43,L44)</f>
        <v>54</v>
      </c>
      <c r="R44" s="166">
        <f t="shared" ref="R44" si="4">IF($I$38=TRUE,M43,M44)</f>
        <v>72</v>
      </c>
      <c r="S44" s="166">
        <f t="shared" ref="S44" si="5">IF($I$38=TRUE,N43,N44)</f>
        <v>108</v>
      </c>
      <c r="T44" s="9"/>
      <c r="U44" s="9"/>
      <c r="V44" s="9"/>
      <c r="X44" s="10"/>
      <c r="Y44" s="10"/>
      <c r="Z44" s="10"/>
      <c r="AB44" s="9"/>
      <c r="AC44" s="9"/>
      <c r="AD44" s="9"/>
    </row>
    <row r="45" spans="3:36" ht="19.149999999999999" customHeight="1">
      <c r="C45" s="192" t="s">
        <v>44</v>
      </c>
      <c r="D45" s="120">
        <v>7.7</v>
      </c>
      <c r="E45" s="121">
        <f>D45</f>
        <v>7.7</v>
      </c>
      <c r="F45" s="121">
        <f>E45</f>
        <v>7.7</v>
      </c>
      <c r="G45" s="121">
        <f>F45</f>
        <v>7.7</v>
      </c>
      <c r="H45" s="122">
        <f>G45</f>
        <v>7.7</v>
      </c>
      <c r="I45" s="12" t="s">
        <v>30</v>
      </c>
      <c r="K45" s="164">
        <f>($D45/100)*E21/365*E27</f>
        <v>14.349688356164384</v>
      </c>
      <c r="L45" s="164">
        <f>($D45/100)*E21/365*F27</f>
        <v>43.04906506849315</v>
      </c>
      <c r="M45" s="164">
        <f>($D45/100)*E21/365*G27</f>
        <v>57.398753424657535</v>
      </c>
      <c r="N45" s="164">
        <f>($D45/100)*E21/365*H27</f>
        <v>86.098130136986299</v>
      </c>
      <c r="O45" s="162"/>
      <c r="P45" s="166"/>
      <c r="Q45" s="166"/>
      <c r="R45" s="166"/>
      <c r="S45" s="166"/>
      <c r="T45" s="9"/>
      <c r="U45" s="9"/>
      <c r="V45" s="9"/>
      <c r="X45" s="10"/>
      <c r="Y45" s="10"/>
      <c r="Z45" s="10"/>
      <c r="AB45" s="9"/>
      <c r="AC45" s="9"/>
      <c r="AD45" s="9"/>
    </row>
    <row r="46" spans="3:36" ht="19.149999999999999" customHeight="1">
      <c r="C46" s="191"/>
      <c r="D46" s="123"/>
      <c r="E46" s="124">
        <v>3.45</v>
      </c>
      <c r="F46" s="124">
        <v>3.45</v>
      </c>
      <c r="G46" s="124">
        <v>3.45</v>
      </c>
      <c r="H46" s="125">
        <v>3.45</v>
      </c>
      <c r="I46" s="33" t="s">
        <v>30</v>
      </c>
      <c r="J46" s="73"/>
      <c r="K46" s="164">
        <f>(E46/100)*E21/365*E27</f>
        <v>6.4294058219178085</v>
      </c>
      <c r="L46" s="164">
        <f>(F46/100)*E21/365*F27</f>
        <v>19.288217465753426</v>
      </c>
      <c r="M46" s="164">
        <f>(G46/100)*E21/365*G27</f>
        <v>25.717623287671234</v>
      </c>
      <c r="N46" s="164">
        <f>(H46/100)*E21/365*H27</f>
        <v>38.576434931506853</v>
      </c>
      <c r="O46" s="162" t="s">
        <v>45</v>
      </c>
      <c r="P46" s="166">
        <f>IF($I$38=TRUE,K45,K46)</f>
        <v>14.349688356164384</v>
      </c>
      <c r="Q46" s="166">
        <f t="shared" ref="Q46" si="6">IF($I$38=TRUE,L45,L46)</f>
        <v>43.04906506849315</v>
      </c>
      <c r="R46" s="166">
        <f t="shared" ref="R46" si="7">IF($I$38=TRUE,M45,M46)</f>
        <v>57.398753424657535</v>
      </c>
      <c r="S46" s="166">
        <f t="shared" ref="S46" si="8">IF($I$38=TRUE,N45,N46)</f>
        <v>86.098130136986299</v>
      </c>
      <c r="T46" s="9"/>
      <c r="U46" s="9"/>
      <c r="V46" s="9"/>
      <c r="X46" s="10"/>
      <c r="Y46" s="10"/>
      <c r="Z46" s="10"/>
      <c r="AB46" s="9"/>
      <c r="AC46" s="9"/>
      <c r="AD46" s="9"/>
    </row>
    <row r="47" spans="3:36" ht="19.149999999999999" customHeight="1">
      <c r="C47" s="192" t="s">
        <v>46</v>
      </c>
      <c r="D47" s="120">
        <v>3</v>
      </c>
      <c r="E47" s="121">
        <f>D47</f>
        <v>3</v>
      </c>
      <c r="F47" s="121">
        <f>E47</f>
        <v>3</v>
      </c>
      <c r="G47" s="121">
        <f>F47</f>
        <v>3</v>
      </c>
      <c r="H47" s="126">
        <f>G47</f>
        <v>3</v>
      </c>
      <c r="I47" s="12" t="s">
        <v>30</v>
      </c>
      <c r="J47" s="34"/>
      <c r="K47" s="167">
        <f>(E76*E35/100)*(D47/100)</f>
        <v>77.476171155273505</v>
      </c>
      <c r="L47" s="167">
        <f>(F76*F35/100)*(D47/100)</f>
        <v>76.064780710823598</v>
      </c>
      <c r="M47" s="167">
        <f>(G76*G35/100)*(D47/100)</f>
        <v>74.579216972517344</v>
      </c>
      <c r="N47" s="167">
        <f>(H76*H35/100)*(D47/100)</f>
        <v>77.859645232324993</v>
      </c>
      <c r="O47" s="162"/>
      <c r="P47" s="166"/>
      <c r="Q47" s="166"/>
      <c r="R47" s="166"/>
      <c r="S47" s="166"/>
      <c r="T47" s="9"/>
      <c r="U47" s="9"/>
      <c r="V47" s="9"/>
      <c r="X47" s="10"/>
      <c r="Y47" s="10"/>
      <c r="Z47" s="10"/>
      <c r="AB47" s="9"/>
      <c r="AC47" s="9"/>
      <c r="AD47" s="9"/>
    </row>
    <row r="48" spans="3:36" ht="19.149999999999999" customHeight="1">
      <c r="C48" s="191"/>
      <c r="D48" s="123"/>
      <c r="E48" s="124">
        <v>1.5</v>
      </c>
      <c r="F48" s="124">
        <v>1.3</v>
      </c>
      <c r="G48" s="124">
        <v>1.3</v>
      </c>
      <c r="H48" s="127">
        <v>1.3</v>
      </c>
      <c r="I48" s="33" t="s">
        <v>30</v>
      </c>
      <c r="K48" s="167">
        <f>(E76*E35/100)*(E48/100)</f>
        <v>38.738085577636753</v>
      </c>
      <c r="L48" s="167">
        <f>(F76*F35/100)*(F48/100)</f>
        <v>32.961404974690225</v>
      </c>
      <c r="M48" s="167">
        <f>(G76*G35/100)*(G48/100)</f>
        <v>32.317660688090854</v>
      </c>
      <c r="N48" s="167">
        <f>(H76*H35/100)*(H48/100)</f>
        <v>33.739179600674163</v>
      </c>
      <c r="O48" s="162" t="s">
        <v>47</v>
      </c>
      <c r="P48" s="166">
        <f>IF($I$38=TRUE,K47,K48)</f>
        <v>77.476171155273505</v>
      </c>
      <c r="Q48" s="166">
        <f t="shared" ref="Q48" si="9">IF($I$38=TRUE,L47,L48)</f>
        <v>76.064780710823598</v>
      </c>
      <c r="R48" s="166">
        <f t="shared" ref="R48" si="10">IF($I$38=TRUE,M47,M48)</f>
        <v>74.579216972517344</v>
      </c>
      <c r="S48" s="166">
        <f t="shared" ref="S48" si="11">IF($I$38=TRUE,N47,N48)</f>
        <v>77.859645232324993</v>
      </c>
      <c r="T48" s="9"/>
      <c r="U48" s="9"/>
      <c r="V48" s="9"/>
      <c r="X48" s="10"/>
      <c r="Y48" s="10"/>
      <c r="Z48" s="10"/>
      <c r="AB48" s="9"/>
      <c r="AC48" s="9"/>
      <c r="AD48" s="9"/>
    </row>
    <row r="49" spans="3:30" ht="19.149999999999999" customHeight="1">
      <c r="C49" s="192" t="s">
        <v>48</v>
      </c>
      <c r="D49" s="116">
        <v>20</v>
      </c>
      <c r="E49" s="117">
        <f>+$D$49</f>
        <v>20</v>
      </c>
      <c r="F49" s="117">
        <f>+$D$49</f>
        <v>20</v>
      </c>
      <c r="G49" s="117">
        <f>+$D$49</f>
        <v>20</v>
      </c>
      <c r="H49" s="118">
        <f>+$D$49</f>
        <v>20</v>
      </c>
      <c r="I49" s="12" t="s">
        <v>30</v>
      </c>
      <c r="K49" s="164">
        <f>D49</f>
        <v>20</v>
      </c>
      <c r="L49" s="164">
        <f>D49</f>
        <v>20</v>
      </c>
      <c r="M49" s="164">
        <f>D49</f>
        <v>20</v>
      </c>
      <c r="N49" s="164">
        <f>D49</f>
        <v>20</v>
      </c>
      <c r="O49" s="162"/>
      <c r="P49" s="166"/>
      <c r="Q49" s="166"/>
      <c r="R49" s="166"/>
      <c r="S49" s="166"/>
      <c r="T49" s="9"/>
      <c r="U49" s="9"/>
      <c r="V49" s="9"/>
      <c r="X49" s="10"/>
      <c r="Y49" s="10"/>
      <c r="Z49" s="10"/>
      <c r="AB49" s="9"/>
      <c r="AC49" s="9"/>
      <c r="AD49" s="9"/>
    </row>
    <row r="50" spans="3:30" ht="19.149999999999999" customHeight="1">
      <c r="C50" s="191"/>
      <c r="D50" s="123"/>
      <c r="E50" s="124">
        <v>17</v>
      </c>
      <c r="F50" s="124">
        <v>15</v>
      </c>
      <c r="G50" s="124">
        <v>15</v>
      </c>
      <c r="H50" s="127">
        <v>15</v>
      </c>
      <c r="I50" s="33" t="s">
        <v>30</v>
      </c>
      <c r="K50" s="164">
        <f>E50</f>
        <v>17</v>
      </c>
      <c r="L50" s="164">
        <f>F50</f>
        <v>15</v>
      </c>
      <c r="M50" s="164">
        <f>G50</f>
        <v>15</v>
      </c>
      <c r="N50" s="164">
        <f>H50</f>
        <v>15</v>
      </c>
      <c r="O50" s="162" t="s">
        <v>49</v>
      </c>
      <c r="P50" s="166">
        <f>IF($I$38=TRUE,K49,K50)</f>
        <v>20</v>
      </c>
      <c r="Q50" s="166">
        <f t="shared" ref="Q50" si="12">IF($I$38=TRUE,L49,L50)</f>
        <v>20</v>
      </c>
      <c r="R50" s="166">
        <f t="shared" ref="R50" si="13">IF($I$38=TRUE,M49,M50)</f>
        <v>20</v>
      </c>
      <c r="S50" s="166">
        <f t="shared" ref="S50" si="14">IF($I$38=TRUE,N49,N50)</f>
        <v>20</v>
      </c>
      <c r="T50" s="9"/>
      <c r="U50" s="9"/>
      <c r="V50" s="9"/>
      <c r="X50" s="10"/>
      <c r="Y50" s="10"/>
      <c r="Z50" s="10"/>
      <c r="AB50" s="9"/>
      <c r="AC50" s="9"/>
      <c r="AD50" s="9"/>
    </row>
    <row r="51" spans="3:30" ht="24" customHeight="1">
      <c r="C51" s="38" t="s">
        <v>50</v>
      </c>
      <c r="D51" s="99"/>
      <c r="E51" s="100">
        <f>IF($I38=TRUE,E39*E27+E41+E43*E27+(D45/100)*E21/365*E27+(E76*E35/100)*(D47/100)+E49,E40*E27+E42+E44*E27+(E46/100)*E21/365*E27+(E76*E35/100)*(E48/100)+E50)</f>
        <v>216.70585951143789</v>
      </c>
      <c r="F51" s="100">
        <f>IF($I38=TRUE,F39*F27+F41+F43*F27+(D45/100)*E21/365*F27+(F76*F35/100)*(D47/100)+F49,F40*F27+F42+F44*F27+(F46/100)*E21/365*F27+(F76*F35/100)*(F48/100)+F50)</f>
        <v>401.1938457793168</v>
      </c>
      <c r="G51" s="100">
        <f>IF($I38=TRUE,G39*G27+G41+G43*G27+(D45/100)*E21/365*G27+(G76*G35/100)*(D47/100)+G49,G40*G27+G42+G44*G27+(G46/100)*E21/365*G27+(G76*G35/100)*(G48/100)+G50)</f>
        <v>492.65797039717484</v>
      </c>
      <c r="H51" s="101">
        <f>IF($I38=TRUE,H39*H27+H41+H43*H27+(D45/100)*E21/365*H27+(H76*H35/100)*(D47/100)+H49,H40*H27+H42+H44*H27+(H46/100)*E21/365*H27+(H76*H35/100)*(H48/100)+H50)</f>
        <v>681.8377753693112</v>
      </c>
      <c r="I51" s="33"/>
      <c r="K51" s="164">
        <f>SUM(K39,K41,K43,K45,K47,K49)</f>
        <v>216.70585951143789</v>
      </c>
      <c r="L51" s="164">
        <f t="shared" ref="L51:N51" si="15">SUM(L39,L41,L43,L45,L47,L49)</f>
        <v>401.1938457793168</v>
      </c>
      <c r="M51" s="164">
        <f t="shared" si="15"/>
        <v>492.65797039717484</v>
      </c>
      <c r="N51" s="164">
        <f t="shared" si="15"/>
        <v>681.8377753693112</v>
      </c>
      <c r="O51" s="162"/>
      <c r="P51" s="166"/>
      <c r="Q51" s="166"/>
      <c r="R51" s="166"/>
      <c r="S51" s="166"/>
      <c r="T51" s="9"/>
      <c r="U51" s="9"/>
      <c r="V51" s="9"/>
      <c r="X51" s="10"/>
      <c r="Y51" s="10"/>
      <c r="Z51" s="10"/>
      <c r="AB51" s="9"/>
      <c r="AC51" s="9"/>
      <c r="AD51" s="9"/>
    </row>
    <row r="52" spans="3:30" ht="23.65" customHeight="1" thickBot="1">
      <c r="C52" s="40" t="s">
        <v>51</v>
      </c>
      <c r="D52" s="35"/>
      <c r="E52" s="70">
        <f>E51/E27</f>
        <v>7.2235286503812635</v>
      </c>
      <c r="F52" s="70">
        <f t="shared" ref="F52:H52" si="16">F51/F27</f>
        <v>4.4577093975479647</v>
      </c>
      <c r="G52" s="70">
        <f t="shared" si="16"/>
        <v>4.1054830866431233</v>
      </c>
      <c r="H52" s="75">
        <f t="shared" si="16"/>
        <v>3.7879876409406177</v>
      </c>
      <c r="I52" s="36"/>
      <c r="K52" s="164">
        <f>SUM(K40,K42,K44,K46,K48,K50)</f>
        <v>171.66749139955456</v>
      </c>
      <c r="L52" s="164">
        <f t="shared" ref="L52:N52" si="17">SUM(L40,L42,L44,L46,L48,L50)</f>
        <v>344.24962244044366</v>
      </c>
      <c r="M52" s="164">
        <f t="shared" si="17"/>
        <v>413.03528397576213</v>
      </c>
      <c r="N52" s="164">
        <f t="shared" si="17"/>
        <v>553.31561453218103</v>
      </c>
      <c r="O52" s="162"/>
      <c r="P52" s="166">
        <f>IF($I$38=TRUE,K51,K52)</f>
        <v>216.70585951143789</v>
      </c>
      <c r="Q52" s="166">
        <f t="shared" ref="Q52" si="18">IF($I$38=TRUE,L51,L52)</f>
        <v>401.1938457793168</v>
      </c>
      <c r="R52" s="166">
        <f t="shared" ref="R52" si="19">IF($I$38=TRUE,M51,M52)</f>
        <v>492.65797039717484</v>
      </c>
      <c r="S52" s="166">
        <f t="shared" ref="S52" si="20">IF($I$38=TRUE,N51,N52)</f>
        <v>681.8377753693112</v>
      </c>
      <c r="T52" s="9"/>
      <c r="U52" s="9"/>
      <c r="V52" s="9"/>
      <c r="X52" s="10"/>
      <c r="Y52" s="10"/>
      <c r="Z52" s="10"/>
      <c r="AB52" s="9"/>
      <c r="AC52" s="9"/>
      <c r="AD52" s="9"/>
    </row>
    <row r="53" spans="3:30" ht="15.6">
      <c r="C53" s="38"/>
      <c r="D53" s="36"/>
      <c r="E53" s="91"/>
      <c r="F53" s="91"/>
      <c r="G53" s="91"/>
      <c r="H53" s="92"/>
      <c r="I53" s="36"/>
      <c r="K53" s="90"/>
      <c r="L53" s="90"/>
      <c r="M53" s="90"/>
      <c r="N53" s="90"/>
      <c r="P53" s="96"/>
      <c r="Q53" s="96"/>
      <c r="R53" s="96"/>
      <c r="S53" s="96"/>
      <c r="T53" s="9"/>
      <c r="U53" s="9"/>
      <c r="V53" s="9"/>
      <c r="X53" s="10"/>
      <c r="Y53" s="10"/>
      <c r="Z53" s="10"/>
      <c r="AB53" s="9"/>
      <c r="AC53" s="9"/>
      <c r="AD53" s="9"/>
    </row>
    <row r="54" spans="3:30" ht="15.6">
      <c r="C54" s="38"/>
      <c r="D54" s="36"/>
      <c r="E54" s="91"/>
      <c r="F54" s="91"/>
      <c r="G54" s="91"/>
      <c r="H54" s="92"/>
      <c r="I54" s="36"/>
      <c r="K54" s="90"/>
      <c r="L54" s="90"/>
      <c r="M54" s="90"/>
      <c r="N54" s="90"/>
      <c r="P54" s="96"/>
      <c r="Q54" s="96"/>
      <c r="R54" s="96"/>
      <c r="S54" s="96"/>
      <c r="T54" s="9"/>
      <c r="U54" s="9"/>
      <c r="V54" s="9"/>
      <c r="X54" s="10"/>
      <c r="Y54" s="10"/>
      <c r="Z54" s="10"/>
      <c r="AB54" s="9"/>
      <c r="AC54" s="9"/>
      <c r="AD54" s="9"/>
    </row>
    <row r="55" spans="3:30" ht="15.6">
      <c r="C55" s="38"/>
      <c r="D55" s="36"/>
      <c r="E55" s="91"/>
      <c r="F55" s="91"/>
      <c r="G55" s="91"/>
      <c r="H55" s="92"/>
      <c r="I55" s="36"/>
      <c r="K55" s="90"/>
      <c r="L55" s="90"/>
      <c r="M55" s="90"/>
      <c r="N55" s="90"/>
      <c r="P55" s="96"/>
      <c r="Q55" s="96"/>
      <c r="R55" s="96"/>
      <c r="S55" s="96"/>
      <c r="T55" s="9"/>
      <c r="U55" s="9"/>
      <c r="V55" s="9"/>
      <c r="X55" s="10"/>
      <c r="Y55" s="10"/>
      <c r="Z55" s="10"/>
      <c r="AB55" s="9"/>
      <c r="AC55" s="9"/>
      <c r="AD55" s="9"/>
    </row>
    <row r="56" spans="3:30" ht="15.6">
      <c r="C56" s="38"/>
      <c r="D56" s="36"/>
      <c r="E56" s="91"/>
      <c r="F56" s="91"/>
      <c r="G56" s="91"/>
      <c r="H56" s="92"/>
      <c r="I56" s="36"/>
      <c r="K56" s="90"/>
      <c r="L56" s="90"/>
      <c r="M56" s="90"/>
      <c r="N56" s="90"/>
      <c r="P56" s="96"/>
      <c r="Q56" s="96"/>
      <c r="R56" s="96"/>
      <c r="S56" s="96"/>
      <c r="T56" s="9"/>
      <c r="U56" s="9"/>
      <c r="V56" s="9"/>
      <c r="X56" s="10"/>
      <c r="Y56" s="10"/>
      <c r="Z56" s="10"/>
      <c r="AB56" s="9"/>
      <c r="AC56" s="9"/>
      <c r="AD56" s="9"/>
    </row>
    <row r="57" spans="3:30" ht="15.6">
      <c r="C57" s="38"/>
      <c r="D57" s="36"/>
      <c r="E57" s="91"/>
      <c r="F57" s="91"/>
      <c r="G57" s="91"/>
      <c r="H57" s="92"/>
      <c r="I57" s="36"/>
      <c r="T57" s="9"/>
      <c r="U57" s="9"/>
      <c r="V57" s="9"/>
      <c r="X57" s="10"/>
      <c r="Y57" s="10"/>
      <c r="Z57" s="10"/>
      <c r="AB57" s="9"/>
      <c r="AC57" s="9"/>
      <c r="AD57" s="9"/>
    </row>
    <row r="58" spans="3:30" ht="15.6">
      <c r="C58" s="38"/>
      <c r="D58" s="36"/>
      <c r="E58" s="91"/>
      <c r="F58" s="91"/>
      <c r="G58" s="91"/>
      <c r="H58" s="92"/>
      <c r="I58" s="36"/>
      <c r="T58" s="9"/>
      <c r="U58" s="9"/>
      <c r="V58" s="9"/>
      <c r="X58" s="10"/>
      <c r="Y58" s="10"/>
      <c r="Z58" s="10"/>
      <c r="AB58" s="9"/>
      <c r="AC58" s="9"/>
      <c r="AD58" s="9"/>
    </row>
    <row r="59" spans="3:30" ht="15.6">
      <c r="C59" s="38"/>
      <c r="D59" s="36"/>
      <c r="E59" s="91"/>
      <c r="F59" s="91"/>
      <c r="G59" s="91"/>
      <c r="H59" s="92"/>
      <c r="T59" s="9"/>
      <c r="U59" s="9"/>
      <c r="V59" s="9"/>
      <c r="X59" s="10"/>
      <c r="Y59" s="10"/>
      <c r="Z59" s="10"/>
      <c r="AB59" s="9"/>
      <c r="AC59" s="9"/>
      <c r="AD59" s="9"/>
    </row>
    <row r="60" spans="3:30" ht="15.6">
      <c r="C60" s="38"/>
      <c r="D60" s="36"/>
      <c r="E60" s="91"/>
      <c r="F60" s="91"/>
      <c r="G60" s="91"/>
      <c r="H60" s="92"/>
      <c r="T60" s="9"/>
      <c r="U60" s="9"/>
      <c r="V60" s="9"/>
      <c r="X60" s="10"/>
      <c r="Y60" s="10"/>
      <c r="Z60" s="10"/>
      <c r="AB60" s="9"/>
      <c r="AC60" s="9"/>
      <c r="AD60" s="9"/>
    </row>
    <row r="61" spans="3:30" ht="15.6">
      <c r="C61" s="38"/>
      <c r="D61" s="36"/>
      <c r="E61" s="91"/>
      <c r="F61" s="91"/>
      <c r="G61" s="91"/>
      <c r="H61" s="92"/>
      <c r="T61" s="9"/>
      <c r="U61" s="9"/>
      <c r="V61" s="9"/>
      <c r="X61" s="10"/>
      <c r="Y61" s="10"/>
      <c r="Z61" s="10"/>
      <c r="AB61" s="9"/>
      <c r="AC61" s="9"/>
      <c r="AD61" s="9"/>
    </row>
    <row r="62" spans="3:30" ht="15.6">
      <c r="C62" s="38"/>
      <c r="D62" s="36"/>
      <c r="E62" s="91"/>
      <c r="F62" s="91"/>
      <c r="G62" s="91"/>
      <c r="H62" s="92"/>
      <c r="I62" s="29"/>
      <c r="K62" s="74"/>
      <c r="L62" s="74"/>
      <c r="T62" s="9"/>
      <c r="U62" s="9"/>
      <c r="V62" s="9"/>
      <c r="X62" s="10"/>
      <c r="Y62" s="10"/>
      <c r="Z62" s="10"/>
      <c r="AB62" s="9"/>
      <c r="AC62" s="9"/>
      <c r="AD62" s="9"/>
    </row>
    <row r="63" spans="3:30" ht="15.6">
      <c r="C63" s="38"/>
      <c r="D63" s="36"/>
      <c r="E63" s="91"/>
      <c r="F63" s="91"/>
      <c r="G63" s="91"/>
      <c r="H63" s="92"/>
      <c r="I63" s="37"/>
      <c r="K63" s="31"/>
      <c r="T63" s="9"/>
      <c r="U63" s="9"/>
      <c r="V63" s="9"/>
      <c r="X63" s="10"/>
      <c r="Y63" s="10"/>
      <c r="Z63" s="10"/>
      <c r="AB63" s="9"/>
      <c r="AC63" s="9"/>
      <c r="AD63" s="9"/>
    </row>
    <row r="64" spans="3:30" ht="15.6">
      <c r="C64" s="38"/>
      <c r="D64" s="36"/>
      <c r="E64" s="91"/>
      <c r="F64" s="91"/>
      <c r="G64" s="91"/>
      <c r="H64" s="92"/>
      <c r="I64" s="37"/>
      <c r="T64" s="9"/>
      <c r="U64" s="9"/>
      <c r="V64" s="9"/>
      <c r="X64" s="10"/>
      <c r="Y64" s="10"/>
      <c r="Z64" s="10"/>
      <c r="AB64" s="9"/>
      <c r="AC64" s="9"/>
      <c r="AD64" s="9"/>
    </row>
    <row r="65" spans="2:30" ht="15.6">
      <c r="C65" s="38"/>
      <c r="D65" s="36"/>
      <c r="E65" s="91"/>
      <c r="F65" s="91"/>
      <c r="G65" s="91"/>
      <c r="H65" s="92"/>
      <c r="I65" s="39"/>
      <c r="T65" s="9"/>
      <c r="U65" s="9"/>
      <c r="V65" s="9"/>
      <c r="X65" s="10"/>
      <c r="Y65" s="10"/>
      <c r="Z65" s="10"/>
      <c r="AB65" s="9"/>
      <c r="AC65" s="9"/>
      <c r="AD65" s="9"/>
    </row>
    <row r="66" spans="2:30" ht="16.149999999999999" thickBot="1">
      <c r="C66" s="40"/>
      <c r="D66" s="97"/>
      <c r="E66" s="98"/>
      <c r="F66" s="98"/>
      <c r="G66" s="98"/>
      <c r="H66" s="71"/>
      <c r="T66" s="9"/>
      <c r="U66" s="9"/>
      <c r="V66" s="9"/>
      <c r="X66" s="10"/>
      <c r="Y66" s="10"/>
      <c r="Z66" s="10"/>
      <c r="AB66" s="9"/>
      <c r="AC66" s="9"/>
      <c r="AD66" s="9"/>
    </row>
    <row r="67" spans="2:30" ht="15.6">
      <c r="C67" s="45"/>
      <c r="D67" s="103"/>
      <c r="E67" s="104"/>
      <c r="F67" s="104"/>
      <c r="G67" s="104"/>
      <c r="H67" s="104"/>
      <c r="T67" s="9"/>
      <c r="U67" s="9"/>
      <c r="V67" s="9"/>
      <c r="X67" s="10"/>
      <c r="Y67" s="10"/>
      <c r="Z67" s="10"/>
      <c r="AB67" s="9"/>
      <c r="AC67" s="9"/>
      <c r="AD67" s="9"/>
    </row>
    <row r="68" spans="2:30" ht="16.149999999999999" thickBot="1">
      <c r="C68" s="30"/>
      <c r="D68" s="97"/>
      <c r="E68" s="98"/>
      <c r="F68" s="98"/>
      <c r="G68" s="98"/>
      <c r="H68" s="98"/>
      <c r="T68" s="9"/>
      <c r="U68" s="9"/>
      <c r="V68" s="9"/>
      <c r="X68" s="10"/>
      <c r="Y68" s="10"/>
      <c r="Z68" s="10"/>
      <c r="AB68" s="9"/>
      <c r="AC68" s="9"/>
      <c r="AD68" s="9"/>
    </row>
    <row r="69" spans="2:30" ht="17.45">
      <c r="C69" s="195" t="s">
        <v>52</v>
      </c>
      <c r="D69" s="196"/>
      <c r="E69" s="196"/>
      <c r="F69" s="196"/>
      <c r="G69" s="196"/>
      <c r="H69" s="197"/>
    </row>
    <row r="70" spans="2:30" ht="136.9" customHeight="1">
      <c r="C70" s="201" t="s">
        <v>53</v>
      </c>
      <c r="D70" s="202"/>
      <c r="E70" s="202"/>
      <c r="F70" s="202"/>
      <c r="G70" s="202"/>
      <c r="H70" s="203"/>
      <c r="K70" s="163" t="s">
        <v>54</v>
      </c>
    </row>
    <row r="71" spans="2:30" ht="15.6">
      <c r="C71" s="76" t="s">
        <v>21</v>
      </c>
      <c r="D71" s="55"/>
      <c r="E71" s="56">
        <f>+E35</f>
        <v>591.69999999999993</v>
      </c>
      <c r="F71" s="56">
        <f>+F35</f>
        <v>708.1</v>
      </c>
      <c r="G71" s="56">
        <f>+G35</f>
        <v>766.3</v>
      </c>
      <c r="H71" s="77">
        <f>+H35</f>
        <v>882.69999999999993</v>
      </c>
      <c r="J71" s="6">
        <f>MONTH(DATEVALUE(D72&amp;" 1"))</f>
        <v>8</v>
      </c>
      <c r="K71" s="162" t="s">
        <v>55</v>
      </c>
    </row>
    <row r="72" spans="2:30" ht="15.6">
      <c r="C72" s="76" t="s">
        <v>56</v>
      </c>
      <c r="D72" s="178" t="s">
        <v>57</v>
      </c>
      <c r="E72" s="179">
        <v>432.24</v>
      </c>
      <c r="F72" s="179">
        <v>370.2</v>
      </c>
      <c r="G72" s="179">
        <v>370.2</v>
      </c>
      <c r="H72" s="179">
        <v>339.12</v>
      </c>
      <c r="K72" s="162" t="s">
        <v>58</v>
      </c>
    </row>
    <row r="73" spans="2:30" ht="15.6">
      <c r="C73" s="78" t="s">
        <v>59</v>
      </c>
      <c r="D73" s="57"/>
      <c r="E73" s="130">
        <f>INDEX(Database!$I$3:$N$14,MATCH($J$71,Database!$I$3:$I$15,0),MATCH($E$71,Database!$I$2:$N$2,TRUE))</f>
        <v>1.0133406310763313</v>
      </c>
      <c r="F73" s="130">
        <f>INDEX(Database!$I$3:$N$14,MATCH($J$71,Database!$I$3:$I$15,0),MATCH($F$71,Database!$I$2:$N$2,TRUE))</f>
        <v>1.0489537777567863</v>
      </c>
      <c r="G73" s="130">
        <f>INDEX(Database!$I$3:$N$14,MATCH($J$71,Database!$I$3:$I$15,0),MATCH($G$71,Database!$I$2:$N$2,TRUE))</f>
        <v>1.0489537777567863</v>
      </c>
      <c r="H73" s="131">
        <f>INDEX(Database!$I$3:$N$14,MATCH($J$71,Database!$I$3:$I$15,0),MATCH($H$71,Database!$I$2:$N$2,TRUE))</f>
        <v>1.065350495621477</v>
      </c>
      <c r="K73" s="162" t="s">
        <v>60</v>
      </c>
    </row>
    <row r="74" spans="2:30" ht="15.6">
      <c r="C74" s="76" t="s">
        <v>61</v>
      </c>
      <c r="D74" s="58"/>
      <c r="E74" s="159">
        <f>E28</f>
        <v>45595</v>
      </c>
      <c r="F74" s="159">
        <f t="shared" ref="F74:H74" si="21">F28</f>
        <v>45655</v>
      </c>
      <c r="G74" s="159">
        <f t="shared" si="21"/>
        <v>45685</v>
      </c>
      <c r="H74" s="168">
        <f t="shared" si="21"/>
        <v>45745</v>
      </c>
      <c r="K74" s="162" t="s">
        <v>62</v>
      </c>
      <c r="L74" s="160">
        <f>MONTH(E28)</f>
        <v>10</v>
      </c>
      <c r="M74" s="161">
        <f t="shared" ref="M74:O74" si="22">MONTH(F28)</f>
        <v>12</v>
      </c>
      <c r="N74" s="161">
        <f t="shared" si="22"/>
        <v>1</v>
      </c>
      <c r="O74" s="154">
        <f t="shared" si="22"/>
        <v>3</v>
      </c>
    </row>
    <row r="75" spans="2:30" ht="15.6">
      <c r="C75" s="78" t="s">
        <v>63</v>
      </c>
      <c r="D75" s="57"/>
      <c r="E75" s="130">
        <f>INDEX(Database!$I$3:$N$14,MATCH(L$74,Database!$I$3:$I$15,0),MATCH(E$71,Database!$I$2:$N$2,TRUE))</f>
        <v>1.0232360391384956</v>
      </c>
      <c r="F75" s="130">
        <f>INDEX(Database!$I$3:$N$14,MATCH(M$74,Database!$I$3:$I$14,0),MATCH(F$71,Database!$I$2:$N$2,TRUE))</f>
        <v>1.0145832903326739</v>
      </c>
      <c r="G75" s="130">
        <f>INDEX(Database!$I$3:$N$14,MATCH(N$74,Database!$I$3:$I$14,0),MATCH(G$71,Database!$I$2:$N$2,TRUE))</f>
        <v>0.91921621342292203</v>
      </c>
      <c r="H75" s="131">
        <f>INDEX(Database!$I$3:$N$14,MATCH(O$74,Database!$I$3:$I$14,0),MATCH(H$71,Database!$I$2:$N$2,TRUE))</f>
        <v>0.92367065839629447</v>
      </c>
      <c r="K75" s="162" t="s">
        <v>64</v>
      </c>
    </row>
    <row r="76" spans="2:30" ht="15.6">
      <c r="C76" s="76" t="s">
        <v>65</v>
      </c>
      <c r="D76" s="58"/>
      <c r="E76" s="136">
        <f>+E72/E73*E75</f>
        <v>436.46088195185348</v>
      </c>
      <c r="F76" s="136">
        <f>+F72/F73*F75</f>
        <v>358.06986165242006</v>
      </c>
      <c r="G76" s="136">
        <f>+G72/G73*G75</f>
        <v>324.41261895914283</v>
      </c>
      <c r="H76" s="137">
        <f>+H72/H73*H75</f>
        <v>294.02078936718777</v>
      </c>
      <c r="K76" s="162" t="s">
        <v>66</v>
      </c>
    </row>
    <row r="77" spans="2:30" ht="15.6">
      <c r="C77" s="193" t="s">
        <v>67</v>
      </c>
      <c r="D77" s="135" t="s">
        <v>68</v>
      </c>
      <c r="E77" s="111">
        <f>IF($I$77=TRUE,E76,"")</f>
        <v>436.46088195185348</v>
      </c>
      <c r="F77" s="111">
        <f>IF($I$77=TRUE,F76,"")</f>
        <v>358.06986165242006</v>
      </c>
      <c r="G77" s="111">
        <f>IF($I$77=TRUE,G76,"")</f>
        <v>324.41261895914283</v>
      </c>
      <c r="H77" s="112">
        <f>IF($I$77=TRUE,H76,"")</f>
        <v>294.02078936718777</v>
      </c>
      <c r="I77" s="184" t="b">
        <v>1</v>
      </c>
      <c r="K77" s="162" t="s">
        <v>69</v>
      </c>
    </row>
    <row r="78" spans="2:30" ht="15.6">
      <c r="C78" s="194"/>
      <c r="D78" s="138" t="s">
        <v>70</v>
      </c>
      <c r="E78" s="128"/>
      <c r="F78" s="128"/>
      <c r="G78" s="128"/>
      <c r="H78" s="129"/>
      <c r="I78" s="12" t="s">
        <v>30</v>
      </c>
      <c r="K78" s="162" t="s">
        <v>57</v>
      </c>
    </row>
    <row r="79" spans="2:30" ht="16.149999999999999" thickBot="1">
      <c r="B79" s="42"/>
      <c r="C79" s="105" t="s">
        <v>71</v>
      </c>
      <c r="D79" s="106"/>
      <c r="E79" s="107">
        <f>IF($I$77=TRUE, E77*E35/100,E78*E35/100)</f>
        <v>2582.5390385091168</v>
      </c>
      <c r="F79" s="107">
        <f t="shared" ref="F79:H79" si="23">IF($I$77=TRUE, F77*F35/100,F78*F35/100)</f>
        <v>2535.4926903607866</v>
      </c>
      <c r="G79" s="107">
        <f t="shared" si="23"/>
        <v>2485.9738990839114</v>
      </c>
      <c r="H79" s="108">
        <f t="shared" si="23"/>
        <v>2595.3215077441664</v>
      </c>
      <c r="I79" s="59"/>
      <c r="K79" s="162" t="s">
        <v>72</v>
      </c>
    </row>
    <row r="80" spans="2:30" ht="15.6">
      <c r="C80" s="45"/>
      <c r="D80" s="109"/>
      <c r="E80" s="104"/>
      <c r="F80" s="104"/>
      <c r="G80" s="104"/>
      <c r="H80" s="104"/>
      <c r="K80" s="162" t="s">
        <v>73</v>
      </c>
    </row>
    <row r="81" spans="2:11" ht="20.100000000000001" customHeight="1" thickBot="1">
      <c r="C81" s="30"/>
      <c r="D81" s="110"/>
      <c r="E81" s="98"/>
      <c r="F81" s="98"/>
      <c r="G81" s="98"/>
      <c r="H81" s="98"/>
      <c r="K81" s="162" t="s">
        <v>74</v>
      </c>
    </row>
    <row r="82" spans="2:11" ht="17.45">
      <c r="C82" s="195" t="s">
        <v>75</v>
      </c>
      <c r="D82" s="196"/>
      <c r="E82" s="196"/>
      <c r="F82" s="196"/>
      <c r="G82" s="196"/>
      <c r="H82" s="197"/>
      <c r="K82" s="162" t="s">
        <v>76</v>
      </c>
    </row>
    <row r="83" spans="2:11" ht="52.15" customHeight="1" thickBot="1">
      <c r="C83" s="187" t="s">
        <v>77</v>
      </c>
      <c r="D83" s="188"/>
      <c r="E83" s="188"/>
      <c r="F83" s="188"/>
      <c r="G83" s="188"/>
      <c r="H83" s="189"/>
    </row>
    <row r="84" spans="2:11" ht="15.6">
      <c r="C84" s="44"/>
      <c r="D84" s="45"/>
      <c r="E84" s="45" t="str">
        <f>E27&amp;" days"</f>
        <v>30 days</v>
      </c>
      <c r="F84" s="45" t="str">
        <f>F27&amp;" days"</f>
        <v>90 days</v>
      </c>
      <c r="G84" s="45" t="str">
        <f>G27&amp;" days"</f>
        <v>120 days</v>
      </c>
      <c r="H84" s="46" t="str">
        <f>H27&amp;" days"</f>
        <v>180 days</v>
      </c>
    </row>
    <row r="85" spans="2:11">
      <c r="C85" s="24" t="s">
        <v>78</v>
      </c>
      <c r="D85" s="16"/>
      <c r="E85" s="60">
        <f>E21</f>
        <v>2267.375</v>
      </c>
      <c r="F85" s="60">
        <f>E21</f>
        <v>2267.375</v>
      </c>
      <c r="G85" s="60">
        <f>E21</f>
        <v>2267.375</v>
      </c>
      <c r="H85" s="61">
        <f>E21</f>
        <v>2267.375</v>
      </c>
    </row>
    <row r="86" spans="2:11">
      <c r="C86" s="24" t="str">
        <f>C79</f>
        <v>Backgrounding Gross Revenue ($/head)</v>
      </c>
      <c r="D86" s="16"/>
      <c r="E86" s="62">
        <f>E79</f>
        <v>2582.5390385091168</v>
      </c>
      <c r="F86" s="62">
        <f>F79</f>
        <v>2535.4926903607866</v>
      </c>
      <c r="G86" s="62">
        <f>G79</f>
        <v>2485.9738990839114</v>
      </c>
      <c r="H86" s="63">
        <f>H79</f>
        <v>2595.3215077441664</v>
      </c>
    </row>
    <row r="87" spans="2:11">
      <c r="C87" s="24" t="s">
        <v>79</v>
      </c>
      <c r="D87" s="16"/>
      <c r="E87" s="62">
        <f>E51</f>
        <v>216.70585951143789</v>
      </c>
      <c r="F87" s="62">
        <f>F51</f>
        <v>401.1938457793168</v>
      </c>
      <c r="G87" s="62">
        <f>G51</f>
        <v>492.65797039717484</v>
      </c>
      <c r="H87" s="63">
        <f>H51</f>
        <v>681.8377753693112</v>
      </c>
    </row>
    <row r="88" spans="2:11" ht="15.6">
      <c r="B88" s="43" t="s">
        <v>80</v>
      </c>
      <c r="C88" s="38" t="s">
        <v>81</v>
      </c>
      <c r="D88" s="16"/>
      <c r="E88" s="64">
        <f>E86-E85-E87</f>
        <v>98.458178997678942</v>
      </c>
      <c r="F88" s="64">
        <f>F86-F85-F87</f>
        <v>-133.07615541853022</v>
      </c>
      <c r="G88" s="64">
        <f>G86-G85-G87</f>
        <v>-274.05907131326342</v>
      </c>
      <c r="H88" s="65">
        <f>H86-H85-H87</f>
        <v>-353.89126762514479</v>
      </c>
    </row>
    <row r="89" spans="2:11" ht="15.6">
      <c r="C89" s="38" t="s">
        <v>82</v>
      </c>
      <c r="D89" s="16"/>
      <c r="E89" s="64">
        <f>E85+E87</f>
        <v>2484.0808595114377</v>
      </c>
      <c r="F89" s="64">
        <f>F85+F87</f>
        <v>2668.5688457793167</v>
      </c>
      <c r="G89" s="64">
        <f>G85+G87</f>
        <v>2760.0329703971747</v>
      </c>
      <c r="H89" s="65">
        <f>H85+H87</f>
        <v>2949.2127753693112</v>
      </c>
    </row>
    <row r="90" spans="2:11" ht="16.149999999999999" thickBot="1">
      <c r="C90" s="40" t="s">
        <v>83</v>
      </c>
      <c r="D90" s="18"/>
      <c r="E90" s="66">
        <f>E89/E71*100</f>
        <v>419.82100042444443</v>
      </c>
      <c r="F90" s="66">
        <f t="shared" ref="F90:H90" si="24">F89/F71*100</f>
        <v>376.86327436510612</v>
      </c>
      <c r="G90" s="66">
        <f t="shared" si="24"/>
        <v>360.17655884081626</v>
      </c>
      <c r="H90" s="67">
        <f t="shared" si="24"/>
        <v>334.11269688108206</v>
      </c>
    </row>
    <row r="91" spans="2:11">
      <c r="K91" s="59"/>
    </row>
    <row r="92" spans="2:11" ht="15.6">
      <c r="D92" s="41"/>
      <c r="H92" s="175"/>
    </row>
  </sheetData>
  <sheetProtection algorithmName="SHA-512" hashValue="h1bMfpYkgkUcURi/86kHaMpXti/aI2AJW3zkMnCOSTOFl1RjpVyHXE8IGVDnhhtenodoyYrgs/z35u3k03fa0w==" saltValue="FvPUJnfEPfkjiixhmSDuhA==" spinCount="100000" sheet="1" objects="1" scenarios="1"/>
  <mergeCells count="21">
    <mergeCell ref="C36:H36"/>
    <mergeCell ref="C24:H24"/>
    <mergeCell ref="C8:E8"/>
    <mergeCell ref="C15:E15"/>
    <mergeCell ref="C25:H25"/>
    <mergeCell ref="D4:H4"/>
    <mergeCell ref="C83:H83"/>
    <mergeCell ref="C39:C40"/>
    <mergeCell ref="C41:C42"/>
    <mergeCell ref="C43:C44"/>
    <mergeCell ref="C45:C46"/>
    <mergeCell ref="C47:C48"/>
    <mergeCell ref="C49:C50"/>
    <mergeCell ref="C77:C78"/>
    <mergeCell ref="C82:H82"/>
    <mergeCell ref="C69:H69"/>
    <mergeCell ref="C37:H37"/>
    <mergeCell ref="C70:H70"/>
    <mergeCell ref="C7:E7"/>
    <mergeCell ref="C29:C30"/>
    <mergeCell ref="C33:C34"/>
  </mergeCells>
  <phoneticPr fontId="18" type="noConversion"/>
  <conditionalFormatting sqref="D29 D33">
    <cfRule type="expression" dxfId="12" priority="22">
      <formula>$I$26=TRUE</formula>
    </cfRule>
  </conditionalFormatting>
  <conditionalFormatting sqref="D39">
    <cfRule type="expression" dxfId="11" priority="12">
      <formula>$I$38=TRUE</formula>
    </cfRule>
  </conditionalFormatting>
  <conditionalFormatting sqref="D41 D43 D45 D47 D49">
    <cfRule type="expression" dxfId="10" priority="13">
      <formula>$I$38=TRUE</formula>
    </cfRule>
  </conditionalFormatting>
  <conditionalFormatting sqref="D29:H29 D33:H33">
    <cfRule type="expression" dxfId="9" priority="25">
      <formula>$I$26=FALSE</formula>
    </cfRule>
  </conditionalFormatting>
  <conditionalFormatting sqref="D39:H39 D41:H41 D43:H43 D45:H45 D47:H47 D49:H49">
    <cfRule type="expression" dxfId="8" priority="11">
      <formula>$I$38=FALSE</formula>
    </cfRule>
  </conditionalFormatting>
  <conditionalFormatting sqref="E30:H30 E34:H34">
    <cfRule type="expression" dxfId="7" priority="23">
      <formula>$I$26=TRUE</formula>
    </cfRule>
    <cfRule type="expression" dxfId="6" priority="24">
      <formula>$I$26=FALSE</formula>
    </cfRule>
  </conditionalFormatting>
  <conditionalFormatting sqref="E40:H40 E42:H42 E44:H44 E46:H46 E48:H48">
    <cfRule type="expression" dxfId="5" priority="9">
      <formula>$I$38=TRUE</formula>
    </cfRule>
    <cfRule type="expression" dxfId="4" priority="10">
      <formula>$I$38=FALSE</formula>
    </cfRule>
  </conditionalFormatting>
  <conditionalFormatting sqref="E50:H50">
    <cfRule type="expression" dxfId="3" priority="7">
      <formula>$I$38=TRUE</formula>
    </cfRule>
    <cfRule type="expression" dxfId="2" priority="8">
      <formula>$I$38=FALSE</formula>
    </cfRule>
  </conditionalFormatting>
  <conditionalFormatting sqref="E78:H78">
    <cfRule type="expression" dxfId="1" priority="2">
      <formula>$I$77=TRUE</formula>
    </cfRule>
    <cfRule type="expression" dxfId="0" priority="3">
      <formula>$I$77=FALSE</formula>
    </cfRule>
  </conditionalFormatting>
  <dataValidations count="2">
    <dataValidation type="list" allowBlank="1" showInputMessage="1" showErrorMessage="1" sqref="E9" xr:uid="{00000000-0002-0000-0000-000000000000}">
      <formula1>$K$9:$K$14</formula1>
    </dataValidation>
    <dataValidation type="list" allowBlank="1" showInputMessage="1" showErrorMessage="1" sqref="D72" xr:uid="{323C847D-1419-40BB-8D66-E4D9A73D0DD6}">
      <formula1>$K$71:$K$82</formula1>
    </dataValidation>
  </dataValidations>
  <hyperlinks>
    <hyperlink ref="D78" r:id="rId1" xr:uid="{37BC52D9-13CA-427C-B361-8DBB63D4B05A}"/>
  </hyperlinks>
  <pageMargins left="0.75" right="0.75" top="1" bottom="1" header="0.5" footer="0.5"/>
  <pageSetup scale="48" orientation="portrait" r:id="rId2"/>
  <headerFooter alignWithMargins="0"/>
  <rowBreaks count="1" manualBreakCount="1">
    <brk id="67"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xdr:col>
                    <xdr:colOff>3192780</xdr:colOff>
                    <xdr:row>36</xdr:row>
                    <xdr:rowOff>685800</xdr:rowOff>
                  </from>
                  <to>
                    <xdr:col>2</xdr:col>
                    <xdr:colOff>3649980</xdr:colOff>
                    <xdr:row>38</xdr:row>
                    <xdr:rowOff>106680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3261360</xdr:colOff>
                    <xdr:row>24</xdr:row>
                    <xdr:rowOff>701040</xdr:rowOff>
                  </from>
                  <to>
                    <xdr:col>2</xdr:col>
                    <xdr:colOff>3649980</xdr:colOff>
                    <xdr:row>26</xdr:row>
                    <xdr:rowOff>91440</xdr:rowOff>
                  </to>
                </anchor>
              </controlPr>
            </control>
          </mc:Choice>
        </mc:AlternateContent>
        <mc:AlternateContent xmlns:mc="http://schemas.openxmlformats.org/markup-compatibility/2006">
          <mc:Choice Requires="x14">
            <control shapeId="1032" r:id="rId7" name="Check Box 8">
              <controlPr defaultSize="0" autoFill="0" autoLine="0" autoPict="0" altText="_x000a_">
                <anchor moveWithCells="1">
                  <from>
                    <xdr:col>3</xdr:col>
                    <xdr:colOff>259080</xdr:colOff>
                    <xdr:row>75</xdr:row>
                    <xdr:rowOff>144780</xdr:rowOff>
                  </from>
                  <to>
                    <xdr:col>3</xdr:col>
                    <xdr:colOff>495300</xdr:colOff>
                    <xdr:row>77</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9"/>
  <sheetViews>
    <sheetView workbookViewId="0">
      <selection activeCell="L14" sqref="L14"/>
    </sheetView>
  </sheetViews>
  <sheetFormatPr defaultRowHeight="13.15"/>
  <cols>
    <col min="16" max="16" width="9.28515625"/>
  </cols>
  <sheetData>
    <row r="1" spans="1:16" ht="17.45">
      <c r="A1" s="4" t="s">
        <v>84</v>
      </c>
      <c r="I1" s="51" t="str">
        <f>+Backgrounding!E9</f>
        <v>AB</v>
      </c>
      <c r="J1">
        <v>550</v>
      </c>
      <c r="K1">
        <v>650</v>
      </c>
      <c r="L1">
        <v>750</v>
      </c>
      <c r="M1">
        <v>850</v>
      </c>
      <c r="N1">
        <v>950</v>
      </c>
    </row>
    <row r="2" spans="1:16">
      <c r="A2" s="52" t="s">
        <v>9</v>
      </c>
      <c r="B2" s="3">
        <v>550</v>
      </c>
      <c r="C2" s="3">
        <v>650</v>
      </c>
      <c r="D2" s="3">
        <v>750</v>
      </c>
      <c r="E2" s="3">
        <v>850</v>
      </c>
      <c r="F2" s="3">
        <v>950</v>
      </c>
      <c r="G2" s="3"/>
      <c r="J2" s="3">
        <v>500</v>
      </c>
      <c r="K2" s="3">
        <v>600</v>
      </c>
      <c r="L2" s="3">
        <v>700</v>
      </c>
      <c r="M2" s="3">
        <v>800</v>
      </c>
      <c r="N2" s="3">
        <v>900</v>
      </c>
    </row>
    <row r="3" spans="1:16">
      <c r="A3" s="53">
        <v>1</v>
      </c>
      <c r="B3" s="133">
        <v>0.93364770386358942</v>
      </c>
      <c r="C3" s="133">
        <v>0.93238882168708659</v>
      </c>
      <c r="D3" s="133">
        <v>0.92211270955207836</v>
      </c>
      <c r="E3" s="133">
        <v>0.92743514872155686</v>
      </c>
      <c r="F3" s="174">
        <v>0.95450312586945674</v>
      </c>
      <c r="H3" t="s">
        <v>55</v>
      </c>
      <c r="I3" s="53">
        <v>1</v>
      </c>
      <c r="J3" s="132" cm="1">
        <f t="array" ref="J3">_xlfn.IFS($I$1=$A$2,B3,$I$1=$A$15,B16,$I$1=$A$28,B29,$I$1=$A$41,B42,$I$1=$A$54,B55,$I$1=$A$67,B68)</f>
        <v>0.94172223694126689</v>
      </c>
      <c r="K3" s="132" cm="1">
        <f t="array" ref="K3">_xlfn.IFS($I$1=$A$2,C3,$I$1=$A$15,C16,$I$1=$A$28,C29,$I$1=$A$41,C42,$I$1=$A$54,C55,$I$1=$A$67,C68)</f>
        <v>0.92421812549932469</v>
      </c>
      <c r="L3" s="132" cm="1">
        <f t="array" ref="L3">_xlfn.IFS($I$1=$A$2,D3,$I$1=$A$15,D16,$I$1=$A$28,D29,$I$1=$A$41,D42,$I$1=$A$54,D55,$I$1=$A$67,D68)</f>
        <v>0.91921621342292203</v>
      </c>
      <c r="M3" s="132" cm="1">
        <f t="array" ref="M3">_xlfn.IFS($I$1=$A$2,E3,$I$1=$A$15,E16,$I$1=$A$28,E29,$I$1=$A$41,E42,$I$1=$A$54,E55,$I$1=$A$67,E68)</f>
        <v>0.93526078374162669</v>
      </c>
      <c r="N3" s="132" cm="1">
        <f t="array" ref="N3">_xlfn.IFS($I$1=$A$2,F3,$I$1=$A$15,F16,$I$1=$A$28,F29,$I$1=$A$41,F42,$I$1=$A$54,F55,$I$1=$A$67,F68)</f>
        <v>0.96164477439040263</v>
      </c>
      <c r="P3" s="81"/>
    </row>
    <row r="4" spans="1:16">
      <c r="A4" s="53">
        <v>2</v>
      </c>
      <c r="B4" s="133">
        <v>0.92994234242618967</v>
      </c>
      <c r="C4" s="133">
        <v>0.93947471627740464</v>
      </c>
      <c r="D4" s="133">
        <v>0.92770634729717383</v>
      </c>
      <c r="E4" s="133">
        <v>0.92478116113178854</v>
      </c>
      <c r="F4" s="174">
        <v>0.97061017402713179</v>
      </c>
      <c r="H4" t="s">
        <v>58</v>
      </c>
      <c r="I4" s="53">
        <v>2</v>
      </c>
      <c r="J4" s="132" cm="1">
        <f t="array" ref="J4">_xlfn.IFS($I$1=$A$2,B4,$I$1=$A$15,B17,$I$1=$A$28,B30,$I$1=$A$41,B43,$I$1=$A$54,B56,$I$1=$A$67,B69)</f>
        <v>0.96685688266598535</v>
      </c>
      <c r="K4" s="132" cm="1">
        <f t="array" ref="K4">_xlfn.IFS($I$1=$A$2,C4,$I$1=$A$15,C17,$I$1=$A$28,C30,$I$1=$A$41,C43,$I$1=$A$54,C56,$I$1=$A$67,C69)</f>
        <v>0.9508764056995469</v>
      </c>
      <c r="L4" s="132" cm="1">
        <f t="array" ref="L4">_xlfn.IFS($I$1=$A$2,D4,$I$1=$A$15,D17,$I$1=$A$28,D30,$I$1=$A$41,D43,$I$1=$A$54,D56,$I$1=$A$67,D69)</f>
        <v>0.92974652957992243</v>
      </c>
      <c r="M4" s="132" cm="1">
        <f t="array" ref="M4">_xlfn.IFS($I$1=$A$2,E4,$I$1=$A$15,E17,$I$1=$A$28,E30,$I$1=$A$41,E43,$I$1=$A$54,E56,$I$1=$A$67,E69)</f>
        <v>0.92870403406459345</v>
      </c>
      <c r="N4" s="132" cm="1">
        <f t="array" ref="N4">_xlfn.IFS($I$1=$A$2,F4,$I$1=$A$15,F17,$I$1=$A$28,F30,$I$1=$A$41,F43,$I$1=$A$54,F56,$I$1=$A$67,F69)</f>
        <v>0.94115900666167684</v>
      </c>
      <c r="P4" s="81"/>
    </row>
    <row r="5" spans="1:16">
      <c r="A5" s="53">
        <v>3</v>
      </c>
      <c r="B5" s="133">
        <v>0.97335904325127187</v>
      </c>
      <c r="C5" s="133">
        <v>0.96352510431493466</v>
      </c>
      <c r="D5" s="133">
        <v>0.94151321434341528</v>
      </c>
      <c r="E5" s="133">
        <v>0.92297638169382556</v>
      </c>
      <c r="F5" s="174">
        <v>0.94751179024205001</v>
      </c>
      <c r="H5" t="s">
        <v>60</v>
      </c>
      <c r="I5" s="53">
        <v>3</v>
      </c>
      <c r="J5" s="132" cm="1">
        <f t="array" ref="J5">_xlfn.IFS($I$1=$A$2,B5,$I$1=$A$15,B18,$I$1=$A$28,B31,$I$1=$A$41,B44,$I$1=$A$54,B57,$I$1=$A$67,B70)</f>
        <v>0.9783323749012357</v>
      </c>
      <c r="K5" s="132" cm="1">
        <f t="array" ref="K5">_xlfn.IFS($I$1=$A$2,C5,$I$1=$A$15,C18,$I$1=$A$28,C31,$I$1=$A$41,C44,$I$1=$A$54,C57,$I$1=$A$67,C70)</f>
        <v>0.96819101311594069</v>
      </c>
      <c r="L5" s="132" cm="1">
        <f t="array" ref="L5">_xlfn.IFS($I$1=$A$2,D5,$I$1=$A$15,D18,$I$1=$A$28,D31,$I$1=$A$41,D44,$I$1=$A$54,D57,$I$1=$A$67,D70)</f>
        <v>0.94029306551021663</v>
      </c>
      <c r="M5" s="132" cm="1">
        <f t="array" ref="M5">_xlfn.IFS($I$1=$A$2,E5,$I$1=$A$15,E18,$I$1=$A$28,E31,$I$1=$A$41,E44,$I$1=$A$54,E57,$I$1=$A$67,E70)</f>
        <v>0.92367065839629447</v>
      </c>
      <c r="N5" s="132" cm="1">
        <f t="array" ref="N5">_xlfn.IFS($I$1=$A$2,F5,$I$1=$A$15,F18,$I$1=$A$28,F31,$I$1=$A$41,F44,$I$1=$A$54,F57,$I$1=$A$67,F70)</f>
        <v>0.92294949645747759</v>
      </c>
      <c r="P5" s="81"/>
    </row>
    <row r="6" spans="1:16">
      <c r="A6" s="53">
        <v>4</v>
      </c>
      <c r="B6" s="133">
        <v>0.99842339836833061</v>
      </c>
      <c r="C6" s="133">
        <v>1.0014706683169141</v>
      </c>
      <c r="D6" s="133">
        <v>0.95320709904963208</v>
      </c>
      <c r="E6" s="133">
        <v>0.94162061057348867</v>
      </c>
      <c r="F6" s="174">
        <v>0.94315850360459885</v>
      </c>
      <c r="H6" t="s">
        <v>62</v>
      </c>
      <c r="I6" s="53">
        <v>4</v>
      </c>
      <c r="J6" s="132" cm="1">
        <f t="array" ref="J6">_xlfn.IFS($I$1=$A$2,B6,$I$1=$A$15,B19,$I$1=$A$28,B32,$I$1=$A$41,B45,$I$1=$A$54,B58,$I$1=$A$67,B71)</f>
        <v>0.98969826585370024</v>
      </c>
      <c r="K6" s="132" cm="1">
        <f t="array" ref="K6">_xlfn.IFS($I$1=$A$2,C6,$I$1=$A$15,C19,$I$1=$A$28,C32,$I$1=$A$41,C45,$I$1=$A$54,C58,$I$1=$A$67,C71)</f>
        <v>0.9915601249944983</v>
      </c>
      <c r="L6" s="132" cm="1">
        <f t="array" ref="L6">_xlfn.IFS($I$1=$A$2,D6,$I$1=$A$15,D19,$I$1=$A$28,D32,$I$1=$A$41,D45,$I$1=$A$54,D58,$I$1=$A$67,D71)</f>
        <v>0.96330344560950243</v>
      </c>
      <c r="M6" s="132" cm="1">
        <f t="array" ref="M6">_xlfn.IFS($I$1=$A$2,E6,$I$1=$A$15,E19,$I$1=$A$28,E32,$I$1=$A$41,E45,$I$1=$A$54,E58,$I$1=$A$67,E71)</f>
        <v>0.93387671387717563</v>
      </c>
      <c r="N6" s="132" cm="1">
        <f t="array" ref="N6">_xlfn.IFS($I$1=$A$2,F6,$I$1=$A$15,F19,$I$1=$A$28,F32,$I$1=$A$41,F45,$I$1=$A$54,F58,$I$1=$A$67,F71)</f>
        <v>0.91842257596428378</v>
      </c>
      <c r="P6" s="81"/>
    </row>
    <row r="7" spans="1:16">
      <c r="A7" s="53">
        <v>5</v>
      </c>
      <c r="B7" s="133">
        <v>1.0155364071183151</v>
      </c>
      <c r="C7" s="133">
        <v>1.0130799251109943</v>
      </c>
      <c r="D7" s="133">
        <v>1.0047961572451116</v>
      </c>
      <c r="E7" s="133">
        <v>0.98313420300034304</v>
      </c>
      <c r="F7" s="174">
        <v>0.96068461305320652</v>
      </c>
      <c r="H7" t="s">
        <v>64</v>
      </c>
      <c r="I7" s="53">
        <v>5</v>
      </c>
      <c r="J7" s="132" cm="1">
        <f t="array" ref="J7">_xlfn.IFS($I$1=$A$2,B7,$I$1=$A$15,B20,$I$1=$A$28,B33,$I$1=$A$41,B46,$I$1=$A$54,B59,$I$1=$A$67,B72)</f>
        <v>1.0003716374697933</v>
      </c>
      <c r="K7" s="132" cm="1">
        <f t="array" ref="K7">_xlfn.IFS($I$1=$A$2,C7,$I$1=$A$15,C20,$I$1=$A$28,C33,$I$1=$A$41,C46,$I$1=$A$54,C59,$I$1=$A$67,C72)</f>
        <v>1.0049681489745115</v>
      </c>
      <c r="L7" s="132" cm="1">
        <f t="array" ref="L7">_xlfn.IFS($I$1=$A$2,D7,$I$1=$A$15,D20,$I$1=$A$28,D33,$I$1=$A$41,D46,$I$1=$A$54,D59,$I$1=$A$67,D72)</f>
        <v>0.98269422739199686</v>
      </c>
      <c r="M7" s="132" cm="1">
        <f t="array" ref="M7">_xlfn.IFS($I$1=$A$2,E7,$I$1=$A$15,E20,$I$1=$A$28,E33,$I$1=$A$41,E46,$I$1=$A$54,E59,$I$1=$A$67,E72)</f>
        <v>0.95646116718294527</v>
      </c>
      <c r="N7" s="132" cm="1">
        <f t="array" ref="N7">_xlfn.IFS($I$1=$A$2,F7,$I$1=$A$15,F20,$I$1=$A$28,F33,$I$1=$A$41,F46,$I$1=$A$54,F59,$I$1=$A$67,F72)</f>
        <v>0.93834854747438956</v>
      </c>
      <c r="P7" s="81"/>
    </row>
    <row r="8" spans="1:16">
      <c r="A8" s="53">
        <v>6</v>
      </c>
      <c r="B8" s="133">
        <v>1.0124594036513082</v>
      </c>
      <c r="C8" s="133">
        <v>1.0189476024096467</v>
      </c>
      <c r="D8" s="133">
        <v>1.0209131966800775</v>
      </c>
      <c r="E8" s="133">
        <v>1.0148689575527041</v>
      </c>
      <c r="F8" s="174">
        <v>0.96321363317566067</v>
      </c>
      <c r="H8" t="s">
        <v>85</v>
      </c>
      <c r="I8" s="53">
        <v>6</v>
      </c>
      <c r="J8" s="132" cm="1">
        <f t="array" ref="J8">_xlfn.IFS($I$1=$A$2,B8,$I$1=$A$15,B21,$I$1=$A$28,B34,$I$1=$A$41,B47,$I$1=$A$54,B60,$I$1=$A$67,B73)</f>
        <v>0.99540955500418127</v>
      </c>
      <c r="K8" s="132" cm="1">
        <f t="array" ref="K8">_xlfn.IFS($I$1=$A$2,C8,$I$1=$A$15,C21,$I$1=$A$28,C34,$I$1=$A$41,C47,$I$1=$A$54,C60,$I$1=$A$67,C73)</f>
        <v>1.0151297752139323</v>
      </c>
      <c r="L8" s="132" cm="1">
        <f t="array" ref="L8">_xlfn.IFS($I$1=$A$2,D8,$I$1=$A$15,D21,$I$1=$A$28,D34,$I$1=$A$41,D47,$I$1=$A$54,D60,$I$1=$A$67,D73)</f>
        <v>1.0137689674782349</v>
      </c>
      <c r="M8" s="132" cm="1">
        <f t="array" ref="M8">_xlfn.IFS($I$1=$A$2,E8,$I$1=$A$15,E21,$I$1=$A$28,E34,$I$1=$A$41,E47,$I$1=$A$54,E60,$I$1=$A$67,E73)</f>
        <v>0.99343842462934073</v>
      </c>
      <c r="N8" s="132" cm="1">
        <f t="array" ref="N8">_xlfn.IFS($I$1=$A$2,F8,$I$1=$A$15,F21,$I$1=$A$28,F34,$I$1=$A$41,F47,$I$1=$A$54,F60,$I$1=$A$67,F73)</f>
        <v>0.97088392283073432</v>
      </c>
      <c r="P8" s="81"/>
    </row>
    <row r="9" spans="1:16">
      <c r="A9" s="53">
        <v>7</v>
      </c>
      <c r="B9" s="133">
        <v>1.0072561194256271</v>
      </c>
      <c r="C9" s="133">
        <v>1.0134326937399016</v>
      </c>
      <c r="D9" s="133">
        <v>1.0231384335932801</v>
      </c>
      <c r="E9" s="133">
        <v>1.0202278404225817</v>
      </c>
      <c r="F9" s="174">
        <v>0.97439499314150224</v>
      </c>
      <c r="H9" t="s">
        <v>86</v>
      </c>
      <c r="I9" s="53">
        <v>7</v>
      </c>
      <c r="J9" s="132" cm="1">
        <f t="array" ref="J9">_xlfn.IFS($I$1=$A$2,B9,$I$1=$A$15,B22,$I$1=$A$28,B35,$I$1=$A$41,B48,$I$1=$A$54,B61,$I$1=$A$67,B74)</f>
        <v>0.99931220650938102</v>
      </c>
      <c r="K9" s="132" cm="1">
        <f t="array" ref="K9">_xlfn.IFS($I$1=$A$2,C9,$I$1=$A$15,C22,$I$1=$A$28,C35,$I$1=$A$41,C48,$I$1=$A$54,C61,$I$1=$A$67,C74)</f>
        <v>1.0126141865938638</v>
      </c>
      <c r="L9" s="132" cm="1">
        <f t="array" ref="L9">_xlfn.IFS($I$1=$A$2,D9,$I$1=$A$15,D22,$I$1=$A$28,D35,$I$1=$A$41,D48,$I$1=$A$54,D61,$I$1=$A$67,D74)</f>
        <v>1.010462186826232</v>
      </c>
      <c r="M9" s="132" cm="1">
        <f t="array" ref="M9">_xlfn.IFS($I$1=$A$2,E9,$I$1=$A$15,E22,$I$1=$A$28,E35,$I$1=$A$41,E48,$I$1=$A$54,E61,$I$1=$A$67,E74)</f>
        <v>1.0139749656438244</v>
      </c>
      <c r="N9" s="132" cm="1">
        <f t="array" ref="N9">_xlfn.IFS($I$1=$A$2,F9,$I$1=$A$15,F22,$I$1=$A$28,F35,$I$1=$A$41,F48,$I$1=$A$54,F61,$I$1=$A$67,F74)</f>
        <v>1.0133019372828169</v>
      </c>
      <c r="P9" s="81"/>
    </row>
    <row r="10" spans="1:16">
      <c r="A10" s="53">
        <v>8</v>
      </c>
      <c r="B10" s="133">
        <v>1.0154376743467679</v>
      </c>
      <c r="C10" s="133">
        <v>1.0226822099871156</v>
      </c>
      <c r="D10" s="133">
        <v>1.0511694632433677</v>
      </c>
      <c r="E10" s="133">
        <v>1.0651849647779308</v>
      </c>
      <c r="F10" s="174">
        <v>1.0588913116966709</v>
      </c>
      <c r="H10" t="s">
        <v>57</v>
      </c>
      <c r="I10" s="53">
        <v>8</v>
      </c>
      <c r="J10" s="132" cm="1">
        <f t="array" ref="J10">_xlfn.IFS($I$1=$A$2,B10,$I$1=$A$15,B23,$I$1=$A$28,B36,$I$1=$A$41,B49,$I$1=$A$54,B62,$I$1=$A$67,B75)</f>
        <v>1.0133406310763313</v>
      </c>
      <c r="K10" s="132" cm="1">
        <f t="array" ref="K10">_xlfn.IFS($I$1=$A$2,C10,$I$1=$A$15,C23,$I$1=$A$28,C36,$I$1=$A$41,C49,$I$1=$A$54,C62,$I$1=$A$67,C75)</f>
        <v>1.0259368187567386</v>
      </c>
      <c r="L10" s="132" cm="1">
        <f t="array" ref="L10">_xlfn.IFS($I$1=$A$2,D10,$I$1=$A$15,D23,$I$1=$A$28,D36,$I$1=$A$41,D49,$I$1=$A$54,D62,$I$1=$A$67,D75)</f>
        <v>1.0489537777567863</v>
      </c>
      <c r="M10" s="132" cm="1">
        <f t="array" ref="M10">_xlfn.IFS($I$1=$A$2,E10,$I$1=$A$15,E23,$I$1=$A$28,E36,$I$1=$A$41,E49,$I$1=$A$54,E62,$I$1=$A$67,E75)</f>
        <v>1.065350495621477</v>
      </c>
      <c r="N10" s="132" cm="1">
        <f t="array" ref="N10">_xlfn.IFS($I$1=$A$2,F10,$I$1=$A$15,F23,$I$1=$A$28,F36,$I$1=$A$41,F49,$I$1=$A$54,F62,$I$1=$A$67,F75)</f>
        <v>1.0776299297598975</v>
      </c>
      <c r="P10" s="81"/>
    </row>
    <row r="11" spans="1:16">
      <c r="A11" s="53">
        <v>9</v>
      </c>
      <c r="B11" s="133">
        <v>1.0352668417915574</v>
      </c>
      <c r="C11" s="133">
        <v>1.0466672150868084</v>
      </c>
      <c r="D11" s="133">
        <v>1.0668590889364116</v>
      </c>
      <c r="E11" s="133">
        <v>1.0889207636393385</v>
      </c>
      <c r="F11" s="174">
        <v>1.0654212557029592</v>
      </c>
      <c r="H11" t="s">
        <v>87</v>
      </c>
      <c r="I11" s="53">
        <v>9</v>
      </c>
      <c r="J11" s="132" cm="1">
        <f t="array" ref="J11">_xlfn.IFS($I$1=$A$2,B11,$I$1=$A$15,B24,$I$1=$A$28,B37,$I$1=$A$41,B50,$I$1=$A$54,B63,$I$1=$A$67,B76)</f>
        <v>1.0447537018356712</v>
      </c>
      <c r="K11" s="132" cm="1">
        <f t="array" ref="K11">_xlfn.IFS($I$1=$A$2,C11,$I$1=$A$15,C24,$I$1=$A$28,C37,$I$1=$A$41,C50,$I$1=$A$54,C63,$I$1=$A$67,C76)</f>
        <v>1.0567781253336377</v>
      </c>
      <c r="L11" s="132" cm="1">
        <f t="array" ref="L11">_xlfn.IFS($I$1=$A$2,D11,$I$1=$A$15,D24,$I$1=$A$28,D37,$I$1=$A$41,D50,$I$1=$A$54,D63,$I$1=$A$67,D76)</f>
        <v>1.0803424852576999</v>
      </c>
      <c r="M11" s="132" cm="1">
        <f t="array" ref="M11">_xlfn.IFS($I$1=$A$2,E11,$I$1=$A$15,E24,$I$1=$A$28,E37,$I$1=$A$41,E50,$I$1=$A$54,E63,$I$1=$A$67,E76)</f>
        <v>1.0951551897629663</v>
      </c>
      <c r="N11" s="132" cm="1">
        <f t="array" ref="N11">_xlfn.IFS($I$1=$A$2,F11,$I$1=$A$15,F24,$I$1=$A$28,F37,$I$1=$A$41,F50,$I$1=$A$54,F63,$I$1=$A$67,F76)</f>
        <v>1.0946803696581147</v>
      </c>
      <c r="P11" s="81"/>
    </row>
    <row r="12" spans="1:16">
      <c r="A12" s="53">
        <v>10</v>
      </c>
      <c r="B12" s="133">
        <v>1.0210924762981122</v>
      </c>
      <c r="C12" s="133">
        <v>1.0275385186110402</v>
      </c>
      <c r="D12" s="133">
        <v>1.0614832530632883</v>
      </c>
      <c r="E12" s="133">
        <v>1.0746036477124929</v>
      </c>
      <c r="F12" s="174">
        <v>1.0386211451646414</v>
      </c>
      <c r="H12" t="s">
        <v>73</v>
      </c>
      <c r="I12" s="53">
        <v>10</v>
      </c>
      <c r="J12" s="132" cm="1">
        <f t="array" ref="J12">_xlfn.IFS($I$1=$A$2,B12,$I$1=$A$15,B25,$I$1=$A$28,B38,$I$1=$A$41,B51,$I$1=$A$54,B64,$I$1=$A$67,B77)</f>
        <v>1.0232360391384956</v>
      </c>
      <c r="K12" s="132" cm="1">
        <f t="array" ref="K12">_xlfn.IFS($I$1=$A$2,C12,$I$1=$A$15,C25,$I$1=$A$28,C38,$I$1=$A$41,C51,$I$1=$A$54,C64,$I$1=$A$67,C77)</f>
        <v>1.0383851528696146</v>
      </c>
      <c r="L12" s="132" cm="1">
        <f t="array" ref="L12">_xlfn.IFS($I$1=$A$2,D12,$I$1=$A$15,D25,$I$1=$A$28,D38,$I$1=$A$41,D51,$I$1=$A$54,D64,$I$1=$A$67,D77)</f>
        <v>1.0709143535353181</v>
      </c>
      <c r="M12" s="132" cm="1">
        <f t="array" ref="M12">_xlfn.IFS($I$1=$A$2,E12,$I$1=$A$15,E25,$I$1=$A$28,E38,$I$1=$A$41,E51,$I$1=$A$54,E64,$I$1=$A$67,E77)</f>
        <v>1.081343627387287</v>
      </c>
      <c r="N12" s="132" cm="1">
        <f t="array" ref="N12">_xlfn.IFS($I$1=$A$2,F12,$I$1=$A$15,F25,$I$1=$A$28,F38,$I$1=$A$41,F51,$I$1=$A$54,F64,$I$1=$A$67,F77)</f>
        <v>1.0797632710627123</v>
      </c>
      <c r="P12" s="81"/>
    </row>
    <row r="13" spans="1:16">
      <c r="A13" s="53">
        <v>11</v>
      </c>
      <c r="B13" s="133">
        <v>1.014394599556206</v>
      </c>
      <c r="C13" s="133">
        <v>0.99528331782608159</v>
      </c>
      <c r="D13" s="133">
        <v>1.0138418776609488</v>
      </c>
      <c r="E13" s="133">
        <v>1.0124338187298649</v>
      </c>
      <c r="F13" s="174">
        <v>1.0571532426175143</v>
      </c>
      <c r="H13" t="s">
        <v>74</v>
      </c>
      <c r="I13" s="53">
        <v>11</v>
      </c>
      <c r="J13" s="132" cm="1">
        <f t="array" ref="J13">_xlfn.IFS($I$1=$A$2,B13,$I$1=$A$15,B26,$I$1=$A$28,B39,$I$1=$A$41,B52,$I$1=$A$54,B65,$I$1=$A$67,B78)</f>
        <v>1.0190496261634461</v>
      </c>
      <c r="K13" s="132" cm="1">
        <f t="array" ref="K13">_xlfn.IFS($I$1=$A$2,C13,$I$1=$A$15,C26,$I$1=$A$28,C39,$I$1=$A$41,C52,$I$1=$A$54,C65,$I$1=$A$67,C78)</f>
        <v>1.005731875787059</v>
      </c>
      <c r="L13" s="132" cm="1">
        <f t="array" ref="L13">_xlfn.IFS($I$1=$A$2,D13,$I$1=$A$15,D26,$I$1=$A$28,D39,$I$1=$A$41,D52,$I$1=$A$54,D65,$I$1=$A$67,D78)</f>
        <v>1.0257214572984958</v>
      </c>
      <c r="M13" s="132" cm="1">
        <f t="array" ref="M13">_xlfn.IFS($I$1=$A$2,E13,$I$1=$A$15,E26,$I$1=$A$28,E39,$I$1=$A$41,E52,$I$1=$A$54,E65,$I$1=$A$67,E78)</f>
        <v>1.0425683603396256</v>
      </c>
      <c r="N13" s="132" cm="1">
        <f t="array" ref="N13">_xlfn.IFS($I$1=$A$2,F13,$I$1=$A$15,F26,$I$1=$A$28,F39,$I$1=$A$41,F52,$I$1=$A$54,F65,$I$1=$A$67,F78)</f>
        <v>1.0446136999733444</v>
      </c>
      <c r="P13" s="81"/>
    </row>
    <row r="14" spans="1:16">
      <c r="A14" s="53">
        <v>12</v>
      </c>
      <c r="B14" s="133">
        <v>1.0431839899027273</v>
      </c>
      <c r="C14" s="133">
        <v>1.0255092066320721</v>
      </c>
      <c r="D14" s="133">
        <v>1.0132591593352169</v>
      </c>
      <c r="E14" s="133">
        <v>1.0238125020440856</v>
      </c>
      <c r="F14" s="174">
        <v>1.0658362117046072</v>
      </c>
      <c r="H14" t="s">
        <v>76</v>
      </c>
      <c r="I14" s="53">
        <v>12</v>
      </c>
      <c r="J14" s="132" cm="1">
        <f t="array" ref="J14">_xlfn.IFS($I$1=$A$2,B14,$I$1=$A$15,B27,$I$1=$A$28,B40,$I$1=$A$41,B53,$I$1=$A$54,B66,$I$1=$A$67,B79)</f>
        <v>1.0279168424405098</v>
      </c>
      <c r="K14" s="132" cm="1">
        <f t="array" ref="K14">_xlfn.IFS($I$1=$A$2,C14,$I$1=$A$15,C27,$I$1=$A$28,C40,$I$1=$A$41,C53,$I$1=$A$54,C66,$I$1=$A$67,C79)</f>
        <v>1.00561024716133</v>
      </c>
      <c r="L14" s="132" cm="1">
        <f t="array" ref="L14">_xlfn.IFS($I$1=$A$2,D14,$I$1=$A$15,D27,$I$1=$A$28,D40,$I$1=$A$41,D53,$I$1=$A$54,D66,$I$1=$A$67,D79)</f>
        <v>1.0145832903326739</v>
      </c>
      <c r="M14" s="132" cm="1">
        <f t="array" ref="M14">_xlfn.IFS($I$1=$A$2,E14,$I$1=$A$15,E27,$I$1=$A$28,E40,$I$1=$A$41,E53,$I$1=$A$54,E66,$I$1=$A$67,E79)</f>
        <v>1.0301955793528412</v>
      </c>
      <c r="N14" s="132" cm="1">
        <f t="array" ref="N14">_xlfn.IFS($I$1=$A$2,F14,$I$1=$A$15,F27,$I$1=$A$28,F40,$I$1=$A$41,F53,$I$1=$A$54,F66,$I$1=$A$67,F79)</f>
        <v>1.0366024684841506</v>
      </c>
      <c r="P14" s="81"/>
    </row>
    <row r="15" spans="1:16">
      <c r="A15" s="52" t="s">
        <v>8</v>
      </c>
      <c r="B15" s="3">
        <v>550</v>
      </c>
      <c r="C15" s="3">
        <v>650</v>
      </c>
      <c r="D15" s="3">
        <v>750</v>
      </c>
      <c r="E15" s="3">
        <v>850</v>
      </c>
      <c r="F15" s="3">
        <v>950</v>
      </c>
      <c r="G15" s="3"/>
      <c r="I15" s="53"/>
      <c r="J15" s="132"/>
      <c r="K15" s="132"/>
      <c r="L15" s="132"/>
      <c r="M15" s="132"/>
      <c r="N15" s="132"/>
      <c r="O15" s="72"/>
      <c r="P15" s="81"/>
    </row>
    <row r="16" spans="1:16">
      <c r="A16" s="53">
        <v>1</v>
      </c>
      <c r="B16" s="133">
        <v>0.94172223694126689</v>
      </c>
      <c r="C16" s="133">
        <v>0.92421812549932469</v>
      </c>
      <c r="D16" s="133">
        <v>0.91921621342292203</v>
      </c>
      <c r="E16" s="133">
        <v>0.93526078374162669</v>
      </c>
      <c r="F16" s="133">
        <v>0.96164477439040263</v>
      </c>
    </row>
    <row r="17" spans="1:10">
      <c r="A17" s="53">
        <v>2</v>
      </c>
      <c r="B17" s="133">
        <v>0.96685688266598535</v>
      </c>
      <c r="C17" s="133">
        <v>0.9508764056995469</v>
      </c>
      <c r="D17" s="133">
        <v>0.92974652957992243</v>
      </c>
      <c r="E17" s="133">
        <v>0.92870403406459345</v>
      </c>
      <c r="F17" s="133">
        <v>0.94115900666167684</v>
      </c>
    </row>
    <row r="18" spans="1:10">
      <c r="A18" s="53">
        <v>3</v>
      </c>
      <c r="B18" s="133">
        <v>0.9783323749012357</v>
      </c>
      <c r="C18" s="133">
        <v>0.96819101311594069</v>
      </c>
      <c r="D18" s="133">
        <v>0.94029306551021663</v>
      </c>
      <c r="E18" s="133">
        <v>0.92367065839629447</v>
      </c>
      <c r="F18" s="133">
        <v>0.92294949645747759</v>
      </c>
    </row>
    <row r="19" spans="1:10">
      <c r="A19" s="53">
        <v>4</v>
      </c>
      <c r="B19" s="133">
        <v>0.98969826585370024</v>
      </c>
      <c r="C19" s="133">
        <v>0.9915601249944983</v>
      </c>
      <c r="D19" s="133">
        <v>0.96330344560950243</v>
      </c>
      <c r="E19" s="133">
        <v>0.93387671387717563</v>
      </c>
      <c r="F19" s="133">
        <v>0.91842257596428378</v>
      </c>
    </row>
    <row r="20" spans="1:10">
      <c r="A20" s="53">
        <v>5</v>
      </c>
      <c r="B20" s="133">
        <v>1.0003716374697933</v>
      </c>
      <c r="C20" s="133">
        <v>1.0049681489745115</v>
      </c>
      <c r="D20" s="133">
        <v>0.98269422739199686</v>
      </c>
      <c r="E20" s="133">
        <v>0.95646116718294527</v>
      </c>
      <c r="F20" s="133">
        <v>0.93834854747438956</v>
      </c>
    </row>
    <row r="21" spans="1:10">
      <c r="A21" s="53">
        <v>6</v>
      </c>
      <c r="B21" s="133">
        <v>0.99540955500418127</v>
      </c>
      <c r="C21" s="133">
        <v>1.0151297752139323</v>
      </c>
      <c r="D21" s="133">
        <v>1.0137689674782349</v>
      </c>
      <c r="E21" s="133">
        <v>0.99343842462934073</v>
      </c>
      <c r="F21" s="133">
        <v>0.97088392283073432</v>
      </c>
      <c r="J21" s="54"/>
    </row>
    <row r="22" spans="1:10">
      <c r="A22" s="53">
        <v>7</v>
      </c>
      <c r="B22" s="133">
        <v>0.99931220650938102</v>
      </c>
      <c r="C22" s="133">
        <v>1.0126141865938638</v>
      </c>
      <c r="D22" s="133">
        <v>1.010462186826232</v>
      </c>
      <c r="E22" s="133">
        <v>1.0139749656438244</v>
      </c>
      <c r="F22" s="133">
        <v>1.0133019372828169</v>
      </c>
    </row>
    <row r="23" spans="1:10">
      <c r="A23" s="53">
        <v>8</v>
      </c>
      <c r="B23" s="133">
        <v>1.0133406310763313</v>
      </c>
      <c r="C23" s="133">
        <v>1.0259368187567386</v>
      </c>
      <c r="D23" s="133">
        <v>1.0489537777567863</v>
      </c>
      <c r="E23" s="133">
        <v>1.065350495621477</v>
      </c>
      <c r="F23" s="133">
        <v>1.0776299297598975</v>
      </c>
    </row>
    <row r="24" spans="1:10">
      <c r="A24" s="53">
        <v>9</v>
      </c>
      <c r="B24" s="133">
        <v>1.0447537018356712</v>
      </c>
      <c r="C24" s="133">
        <v>1.0567781253336377</v>
      </c>
      <c r="D24" s="133">
        <v>1.0803424852576999</v>
      </c>
      <c r="E24" s="133">
        <v>1.0951551897629663</v>
      </c>
      <c r="F24" s="133">
        <v>1.0946803696581147</v>
      </c>
    </row>
    <row r="25" spans="1:10">
      <c r="A25" s="53">
        <v>10</v>
      </c>
      <c r="B25" s="133">
        <v>1.0232360391384956</v>
      </c>
      <c r="C25" s="133">
        <v>1.0383851528696146</v>
      </c>
      <c r="D25" s="133">
        <v>1.0709143535353181</v>
      </c>
      <c r="E25" s="133">
        <v>1.081343627387287</v>
      </c>
      <c r="F25" s="133">
        <v>1.0797632710627123</v>
      </c>
    </row>
    <row r="26" spans="1:10">
      <c r="A26" s="53">
        <v>11</v>
      </c>
      <c r="B26" s="133">
        <v>1.0190496261634461</v>
      </c>
      <c r="C26" s="133">
        <v>1.005731875787059</v>
      </c>
      <c r="D26" s="133">
        <v>1.0257214572984958</v>
      </c>
      <c r="E26" s="133">
        <v>1.0425683603396256</v>
      </c>
      <c r="F26" s="133">
        <v>1.0446136999733444</v>
      </c>
    </row>
    <row r="27" spans="1:10">
      <c r="A27" s="53">
        <v>12</v>
      </c>
      <c r="B27" s="133">
        <v>1.0279168424405098</v>
      </c>
      <c r="C27" s="133">
        <v>1.00561024716133</v>
      </c>
      <c r="D27" s="133">
        <v>1.0145832903326739</v>
      </c>
      <c r="E27" s="133">
        <v>1.0301955793528412</v>
      </c>
      <c r="F27" s="133">
        <v>1.0366024684841506</v>
      </c>
    </row>
    <row r="28" spans="1:10">
      <c r="A28" s="52" t="s">
        <v>12</v>
      </c>
      <c r="B28" s="3">
        <v>550</v>
      </c>
      <c r="C28" s="3">
        <v>650</v>
      </c>
      <c r="D28" s="3">
        <v>750</v>
      </c>
      <c r="E28" s="3">
        <v>850</v>
      </c>
      <c r="F28" s="3">
        <v>950</v>
      </c>
      <c r="G28" s="3"/>
    </row>
    <row r="29" spans="1:10">
      <c r="A29" s="53">
        <v>1</v>
      </c>
      <c r="B29" s="133">
        <v>0.9377524578321258</v>
      </c>
      <c r="C29" s="133">
        <v>0.92816403848772533</v>
      </c>
      <c r="D29" s="133">
        <v>0.92127668914578142</v>
      </c>
      <c r="E29" s="133">
        <v>0.93528513238243105</v>
      </c>
      <c r="F29" s="174">
        <v>0.95635483501498375</v>
      </c>
    </row>
    <row r="30" spans="1:10">
      <c r="A30" s="53">
        <v>2</v>
      </c>
      <c r="B30" s="133">
        <v>0.96484636416681657</v>
      </c>
      <c r="C30" s="133">
        <v>0.95213618805706124</v>
      </c>
      <c r="D30" s="133">
        <v>0.92945918277303574</v>
      </c>
      <c r="E30" s="133">
        <v>0.92818155960017923</v>
      </c>
      <c r="F30" s="174">
        <v>0.94802772485132314</v>
      </c>
    </row>
    <row r="31" spans="1:10">
      <c r="A31" s="53">
        <v>3</v>
      </c>
      <c r="B31" s="133">
        <v>0.9807261668683942</v>
      </c>
      <c r="C31" s="133">
        <v>0.96967190329978115</v>
      </c>
      <c r="D31" s="133">
        <v>0.93585915587675894</v>
      </c>
      <c r="E31" s="133">
        <v>0.91670620769793909</v>
      </c>
      <c r="F31" s="174">
        <v>0.92066230710830799</v>
      </c>
    </row>
    <row r="32" spans="1:10">
      <c r="A32" s="53">
        <v>4</v>
      </c>
      <c r="B32" s="133">
        <v>0.98494593808078235</v>
      </c>
      <c r="C32" s="133">
        <v>0.98391044215005774</v>
      </c>
      <c r="D32" s="133">
        <v>0.96598079128670233</v>
      </c>
      <c r="E32" s="133">
        <v>0.93184673666819184</v>
      </c>
      <c r="F32" s="174">
        <v>0.92127297464319657</v>
      </c>
    </row>
    <row r="33" spans="1:7">
      <c r="A33" s="53">
        <v>5</v>
      </c>
      <c r="B33" s="133">
        <v>1.0030239702907289</v>
      </c>
      <c r="C33" s="133">
        <v>1.0005600519147071</v>
      </c>
      <c r="D33" s="133">
        <v>0.98181055328095623</v>
      </c>
      <c r="E33" s="133">
        <v>0.95710684361767395</v>
      </c>
      <c r="F33" s="174">
        <v>0.92270380260341578</v>
      </c>
    </row>
    <row r="34" spans="1:7">
      <c r="A34" s="53">
        <v>6</v>
      </c>
      <c r="B34" s="133">
        <v>0.99957289212158795</v>
      </c>
      <c r="C34" s="133">
        <v>1.006894100747886</v>
      </c>
      <c r="D34" s="133">
        <v>0.99582327448600605</v>
      </c>
      <c r="E34" s="133">
        <v>1.0016678108264423</v>
      </c>
      <c r="F34" s="174">
        <v>0.99220519947763497</v>
      </c>
    </row>
    <row r="35" spans="1:7">
      <c r="A35" s="53">
        <v>7</v>
      </c>
      <c r="B35" s="133">
        <v>0.9974974835989765</v>
      </c>
      <c r="C35" s="133">
        <v>1.0120631913854834</v>
      </c>
      <c r="D35" s="133">
        <v>1.0195402099508677</v>
      </c>
      <c r="E35" s="133">
        <v>1.019013286653355</v>
      </c>
      <c r="F35" s="174">
        <v>0.9986172085939683</v>
      </c>
    </row>
    <row r="36" spans="1:7">
      <c r="A36" s="53">
        <v>8</v>
      </c>
      <c r="B36" s="133">
        <v>1.0051857462822562</v>
      </c>
      <c r="C36" s="133">
        <v>1.0286303495984932</v>
      </c>
      <c r="D36" s="133">
        <v>1.0432571454157293</v>
      </c>
      <c r="E36" s="133">
        <v>1.0560598802964163</v>
      </c>
      <c r="F36" s="174">
        <v>1.0638914896698868</v>
      </c>
    </row>
    <row r="37" spans="1:7">
      <c r="A37" s="53">
        <v>9</v>
      </c>
      <c r="B37" s="133">
        <v>1.0467655165950194</v>
      </c>
      <c r="C37" s="133">
        <v>1.0595895602603895</v>
      </c>
      <c r="D37" s="133">
        <v>1.0854612677147615</v>
      </c>
      <c r="E37" s="133">
        <v>1.0940974438350766</v>
      </c>
      <c r="F37" s="174">
        <v>1.1015982410311325</v>
      </c>
    </row>
    <row r="38" spans="1:7">
      <c r="A38" s="53">
        <v>10</v>
      </c>
      <c r="B38" s="133">
        <v>1.0259324057473216</v>
      </c>
      <c r="C38" s="133">
        <v>1.0412445726365933</v>
      </c>
      <c r="D38" s="133">
        <v>1.0728062794781115</v>
      </c>
      <c r="E38" s="133">
        <v>1.0821281748396514</v>
      </c>
      <c r="F38" s="174">
        <v>1.0798048111484144</v>
      </c>
    </row>
    <row r="39" spans="1:7">
      <c r="A39" s="53">
        <v>11</v>
      </c>
      <c r="B39" s="133">
        <v>1.0219094159531974</v>
      </c>
      <c r="C39" s="133">
        <v>1.0067815549489094</v>
      </c>
      <c r="D39" s="133">
        <v>1.0265458861211127</v>
      </c>
      <c r="E39" s="133">
        <v>1.0368094086923008</v>
      </c>
      <c r="F39" s="174">
        <v>1.0430102545144253</v>
      </c>
    </row>
    <row r="40" spans="1:7">
      <c r="A40" s="53">
        <v>12</v>
      </c>
      <c r="B40" s="133">
        <v>1.0318416424627908</v>
      </c>
      <c r="C40" s="133">
        <v>1.0103540465129106</v>
      </c>
      <c r="D40" s="133">
        <v>1.022179564470177</v>
      </c>
      <c r="E40" s="133">
        <v>1.0410975148903432</v>
      </c>
      <c r="F40" s="174">
        <v>1.0518511513433113</v>
      </c>
    </row>
    <row r="41" spans="1:7">
      <c r="A41" s="52" t="s">
        <v>13</v>
      </c>
      <c r="B41" s="3">
        <v>550</v>
      </c>
      <c r="C41" s="3">
        <v>650</v>
      </c>
      <c r="D41" s="3">
        <v>750</v>
      </c>
      <c r="E41" s="3">
        <v>850</v>
      </c>
      <c r="F41" s="3">
        <v>950</v>
      </c>
      <c r="G41" s="3"/>
    </row>
    <row r="42" spans="1:7">
      <c r="A42" s="53">
        <v>1</v>
      </c>
      <c r="B42" s="133">
        <v>0.92817045497217332</v>
      </c>
      <c r="C42" s="133">
        <v>0.92210944402404527</v>
      </c>
      <c r="D42" s="133">
        <v>0.91480037116423718</v>
      </c>
      <c r="E42" s="133">
        <v>0.92136400412079655</v>
      </c>
      <c r="F42" s="133">
        <v>0.93166006250686717</v>
      </c>
    </row>
    <row r="43" spans="1:7">
      <c r="A43" s="53">
        <v>2</v>
      </c>
      <c r="B43" s="133">
        <v>0.96330258335347618</v>
      </c>
      <c r="C43" s="133">
        <v>0.95159853196569499</v>
      </c>
      <c r="D43" s="133">
        <v>0.93312502519414053</v>
      </c>
      <c r="E43" s="133">
        <v>0.92278750651440267</v>
      </c>
      <c r="F43" s="133">
        <v>0.93025406330171945</v>
      </c>
    </row>
    <row r="44" spans="1:7">
      <c r="A44" s="53">
        <v>3</v>
      </c>
      <c r="B44" s="133">
        <v>0.96901047207771862</v>
      </c>
      <c r="C44" s="133">
        <v>0.9592229376204523</v>
      </c>
      <c r="D44" s="133">
        <v>0.92930072100883654</v>
      </c>
      <c r="E44" s="133">
        <v>0.91236987255578716</v>
      </c>
      <c r="F44" s="133">
        <v>0.93455872080490099</v>
      </c>
    </row>
    <row r="45" spans="1:7">
      <c r="A45" s="53">
        <v>4</v>
      </c>
      <c r="B45" s="133">
        <v>0.98218345559499409</v>
      </c>
      <c r="C45" s="133">
        <v>0.98500795931862006</v>
      </c>
      <c r="D45" s="133">
        <v>0.95366840602716263</v>
      </c>
      <c r="E45" s="133">
        <v>0.92980676125669814</v>
      </c>
      <c r="F45" s="133">
        <v>0.956436224364828</v>
      </c>
    </row>
    <row r="46" spans="1:7">
      <c r="A46" s="53">
        <v>5</v>
      </c>
      <c r="B46" s="133">
        <v>0.9876846312568861</v>
      </c>
      <c r="C46" s="133">
        <v>0.98180987062168656</v>
      </c>
      <c r="D46" s="133">
        <v>0.97149259210695371</v>
      </c>
      <c r="E46" s="133">
        <v>0.96113080568129761</v>
      </c>
      <c r="F46" s="133">
        <v>0.96796366865668881</v>
      </c>
    </row>
    <row r="47" spans="1:7">
      <c r="A47" s="53">
        <v>6</v>
      </c>
      <c r="B47" s="133">
        <v>1.0147994724441309</v>
      </c>
      <c r="C47" s="133">
        <v>0.99935632135594266</v>
      </c>
      <c r="D47" s="133">
        <v>0.99404447684820552</v>
      </c>
      <c r="E47" s="133">
        <v>1.01150056433822</v>
      </c>
      <c r="F47" s="133">
        <v>0.98465038487635215</v>
      </c>
    </row>
    <row r="48" spans="1:7">
      <c r="A48" s="53">
        <v>7</v>
      </c>
      <c r="B48" s="133">
        <v>1.0073199767003511</v>
      </c>
      <c r="C48" s="133">
        <v>1.0227835882793623</v>
      </c>
      <c r="D48" s="133">
        <v>1.030726945446921</v>
      </c>
      <c r="E48" s="133">
        <v>1.0259708134173509</v>
      </c>
      <c r="F48" s="133">
        <v>0.99200594021045463</v>
      </c>
    </row>
    <row r="49" spans="1:7">
      <c r="A49" s="53">
        <v>8</v>
      </c>
      <c r="B49" s="133">
        <v>1.0074075302388987</v>
      </c>
      <c r="C49" s="133">
        <v>1.0242905914960594</v>
      </c>
      <c r="D49" s="133">
        <v>1.0360628348197227</v>
      </c>
      <c r="E49" s="133">
        <v>1.0349747361281711</v>
      </c>
      <c r="F49" s="133">
        <v>1.0022932785101759</v>
      </c>
    </row>
    <row r="50" spans="1:7">
      <c r="A50" s="53">
        <v>9</v>
      </c>
      <c r="B50" s="133">
        <v>1.0445996308763712</v>
      </c>
      <c r="C50" s="133">
        <v>1.0616270400182024</v>
      </c>
      <c r="D50" s="133">
        <v>1.0843574068195507</v>
      </c>
      <c r="E50" s="133">
        <v>1.0969006677987851</v>
      </c>
      <c r="F50" s="133">
        <v>1.055701377503395</v>
      </c>
    </row>
    <row r="51" spans="1:7">
      <c r="A51" s="53">
        <v>10</v>
      </c>
      <c r="B51" s="133">
        <v>1.0242519717394654</v>
      </c>
      <c r="C51" s="133">
        <v>1.0451581108468033</v>
      </c>
      <c r="D51" s="133">
        <v>1.0757974932650982</v>
      </c>
      <c r="E51" s="133">
        <v>1.0854608971699349</v>
      </c>
      <c r="F51" s="133">
        <v>1.0736488401613544</v>
      </c>
    </row>
    <row r="52" spans="1:7">
      <c r="A52" s="53">
        <v>11</v>
      </c>
      <c r="B52" s="133">
        <v>1.0214084623742523</v>
      </c>
      <c r="C52" s="133">
        <v>1.0169052236342355</v>
      </c>
      <c r="D52" s="133">
        <v>1.0338175634052196</v>
      </c>
      <c r="E52" s="133">
        <v>1.0448585127996193</v>
      </c>
      <c r="F52" s="133">
        <v>1.0604676413428513</v>
      </c>
    </row>
    <row r="53" spans="1:7">
      <c r="A53" s="53">
        <v>12</v>
      </c>
      <c r="B53" s="133">
        <v>1.0498613583712799</v>
      </c>
      <c r="C53" s="133">
        <v>1.0301303808188957</v>
      </c>
      <c r="D53" s="133">
        <v>1.0428061638939528</v>
      </c>
      <c r="E53" s="133">
        <v>1.0528748582189371</v>
      </c>
      <c r="F53" s="133">
        <v>1.1103597977604105</v>
      </c>
    </row>
    <row r="54" spans="1:7">
      <c r="A54" s="52" t="s">
        <v>14</v>
      </c>
      <c r="B54" s="3">
        <v>550</v>
      </c>
      <c r="C54" s="3">
        <v>650</v>
      </c>
      <c r="D54" s="3">
        <v>750</v>
      </c>
      <c r="E54" s="3">
        <v>850</v>
      </c>
      <c r="F54" s="3">
        <v>950</v>
      </c>
      <c r="G54" s="3"/>
    </row>
    <row r="55" spans="1:7">
      <c r="A55" s="53">
        <v>1</v>
      </c>
      <c r="B55" s="133">
        <v>0.92834199133740303</v>
      </c>
      <c r="C55" s="133">
        <v>0.92923212824224355</v>
      </c>
      <c r="D55" s="133">
        <v>0.93354574549374481</v>
      </c>
      <c r="E55" s="133">
        <v>0.93595006622686361</v>
      </c>
      <c r="F55" s="133">
        <v>0.96378306668623481</v>
      </c>
    </row>
    <row r="56" spans="1:7">
      <c r="A56" s="53">
        <v>2</v>
      </c>
      <c r="B56" s="133">
        <v>0.9675709741905103</v>
      </c>
      <c r="C56" s="133">
        <v>0.96087052695412323</v>
      </c>
      <c r="D56" s="133">
        <v>0.94940348808720709</v>
      </c>
      <c r="E56" s="133">
        <v>0.93901753305748958</v>
      </c>
      <c r="F56" s="133">
        <v>0.96437572429224905</v>
      </c>
    </row>
    <row r="57" spans="1:7">
      <c r="A57" s="53">
        <v>3</v>
      </c>
      <c r="B57" s="133">
        <v>0.94896105489715576</v>
      </c>
      <c r="C57" s="133">
        <v>0.95565723440483585</v>
      </c>
      <c r="D57" s="133">
        <v>0.94603137828961137</v>
      </c>
      <c r="E57" s="133">
        <v>0.9324277351559328</v>
      </c>
      <c r="F57" s="133">
        <v>0.93214445876484864</v>
      </c>
    </row>
    <row r="58" spans="1:7">
      <c r="A58" s="53">
        <v>4</v>
      </c>
      <c r="B58" s="133">
        <v>0.96886335818870406</v>
      </c>
      <c r="C58" s="133">
        <v>0.9821687606677062</v>
      </c>
      <c r="D58" s="133">
        <v>0.9846773185449943</v>
      </c>
      <c r="E58" s="133">
        <v>0.95580259688301705</v>
      </c>
      <c r="F58" s="133">
        <v>0.92064432658866935</v>
      </c>
    </row>
    <row r="59" spans="1:7">
      <c r="A59" s="53">
        <v>5</v>
      </c>
      <c r="B59" s="133">
        <v>1.0185044429802745</v>
      </c>
      <c r="C59" s="133">
        <v>1.031110623957805</v>
      </c>
      <c r="D59" s="133">
        <v>1.0225302561400134</v>
      </c>
      <c r="E59" s="133">
        <v>0.99220224767596776</v>
      </c>
      <c r="F59" s="133">
        <v>0.94690049438058355</v>
      </c>
    </row>
    <row r="60" spans="1:7">
      <c r="A60" s="53">
        <v>6</v>
      </c>
      <c r="B60" s="133">
        <v>0.99380883103764805</v>
      </c>
      <c r="C60" s="133">
        <v>1.0018997658627422</v>
      </c>
      <c r="D60" s="133">
        <v>1.0002286737469523</v>
      </c>
      <c r="E60" s="133">
        <v>0.99346698049538629</v>
      </c>
      <c r="F60" s="133">
        <v>0.97084148509169454</v>
      </c>
    </row>
    <row r="61" spans="1:7">
      <c r="A61" s="53">
        <v>7</v>
      </c>
      <c r="B61" s="133">
        <v>0.98006648119018858</v>
      </c>
      <c r="C61" s="133">
        <v>0.99054589308818153</v>
      </c>
      <c r="D61" s="133">
        <v>0.99711673906461584</v>
      </c>
      <c r="E61" s="133">
        <v>0.99358069655546255</v>
      </c>
      <c r="F61" s="133">
        <v>0.97663437898506444</v>
      </c>
    </row>
    <row r="62" spans="1:7">
      <c r="A62" s="53">
        <v>8</v>
      </c>
      <c r="B62" s="133">
        <v>1.0296763846535488</v>
      </c>
      <c r="C62" s="133">
        <v>1.0299694465336304</v>
      </c>
      <c r="D62" s="133">
        <v>1.0327879950981098</v>
      </c>
      <c r="E62" s="133">
        <v>1.0482069294649061</v>
      </c>
      <c r="F62" s="133">
        <v>1.0392951715032863</v>
      </c>
    </row>
    <row r="63" spans="1:7">
      <c r="A63" s="53">
        <v>9</v>
      </c>
      <c r="B63" s="133">
        <v>1.0716148608158849</v>
      </c>
      <c r="C63" s="133">
        <v>1.0505257636863241</v>
      </c>
      <c r="D63" s="133">
        <v>1.0790423245144651</v>
      </c>
      <c r="E63" s="133">
        <v>1.0886568787505693</v>
      </c>
      <c r="F63" s="133">
        <v>1.0692528499573228</v>
      </c>
    </row>
    <row r="64" spans="1:7">
      <c r="A64" s="53">
        <v>10</v>
      </c>
      <c r="B64" s="133">
        <v>1.0467321609039961</v>
      </c>
      <c r="C64" s="133">
        <v>1.0293359871985905</v>
      </c>
      <c r="D64" s="133">
        <v>1.040561824208039</v>
      </c>
      <c r="E64" s="133">
        <v>1.0734002925560655</v>
      </c>
      <c r="F64" s="133">
        <v>1.0721354335681947</v>
      </c>
    </row>
    <row r="65" spans="1:6">
      <c r="A65" s="53">
        <v>11</v>
      </c>
      <c r="B65" s="133">
        <v>1.0243653018419241</v>
      </c>
      <c r="C65" s="133">
        <v>1.0159862422081027</v>
      </c>
      <c r="D65" s="133">
        <v>0.99982154359323416</v>
      </c>
      <c r="E65" s="133">
        <v>1.0138336224147415</v>
      </c>
      <c r="F65" s="133">
        <v>1.0687404016513709</v>
      </c>
    </row>
    <row r="66" spans="1:6">
      <c r="A66" s="53">
        <v>12</v>
      </c>
      <c r="B66" s="133">
        <v>1.0214941579627623</v>
      </c>
      <c r="C66" s="133">
        <v>1.0226976271957142</v>
      </c>
      <c r="D66" s="133">
        <v>1.0142527132190142</v>
      </c>
      <c r="E66" s="133">
        <v>1.0334544207635967</v>
      </c>
      <c r="F66" s="133">
        <v>1.0752522085304819</v>
      </c>
    </row>
    <row r="67" spans="1:6">
      <c r="A67" s="52" t="s">
        <v>16</v>
      </c>
      <c r="B67" s="3">
        <v>550</v>
      </c>
      <c r="C67" s="3">
        <v>650</v>
      </c>
      <c r="D67" s="3">
        <v>750</v>
      </c>
      <c r="E67" s="3">
        <v>850</v>
      </c>
      <c r="F67" s="3">
        <v>950</v>
      </c>
    </row>
    <row r="68" spans="1:6">
      <c r="A68" s="53">
        <v>1</v>
      </c>
      <c r="B68" s="133">
        <v>0.91385525497188269</v>
      </c>
      <c r="C68" s="133">
        <v>0.91192158578995519</v>
      </c>
      <c r="D68" s="133">
        <v>0.91844764850357119</v>
      </c>
      <c r="E68" s="133">
        <v>0.93248375942725614</v>
      </c>
      <c r="F68" s="134">
        <v>0.93248375942725614</v>
      </c>
    </row>
    <row r="69" spans="1:6">
      <c r="A69" s="53">
        <v>2</v>
      </c>
      <c r="B69" s="133">
        <v>0.93914709393173046</v>
      </c>
      <c r="C69" s="133">
        <v>0.93344792068290772</v>
      </c>
      <c r="D69" s="133">
        <v>0.91724910871170562</v>
      </c>
      <c r="E69" s="133">
        <v>0.93783384708457362</v>
      </c>
      <c r="F69" s="134">
        <v>0.93783384708457362</v>
      </c>
    </row>
    <row r="70" spans="1:6">
      <c r="A70" s="53">
        <v>3</v>
      </c>
      <c r="B70" s="133">
        <v>0.94339267509143265</v>
      </c>
      <c r="C70" s="133">
        <v>0.9310486400619421</v>
      </c>
      <c r="D70" s="133">
        <v>0.9075185644831828</v>
      </c>
      <c r="E70" s="133">
        <v>0.91088674653535973</v>
      </c>
      <c r="F70" s="134">
        <v>0.91088674653535973</v>
      </c>
    </row>
    <row r="71" spans="1:6">
      <c r="A71" s="53">
        <v>4</v>
      </c>
      <c r="B71" s="133">
        <v>0.97842320894456225</v>
      </c>
      <c r="C71" s="133">
        <v>0.95555619619635868</v>
      </c>
      <c r="D71" s="133">
        <v>0.9362711414725341</v>
      </c>
      <c r="E71" s="133">
        <v>0.91336195213543059</v>
      </c>
      <c r="F71" s="134">
        <v>0.91336195213543059</v>
      </c>
    </row>
    <row r="72" spans="1:6">
      <c r="A72" s="53">
        <v>5</v>
      </c>
      <c r="B72" s="133">
        <v>0.98944056506905598</v>
      </c>
      <c r="C72" s="133">
        <v>0.99657208413883103</v>
      </c>
      <c r="D72" s="133">
        <v>0.9803811059075549</v>
      </c>
      <c r="E72" s="133">
        <v>0.95432917703517861</v>
      </c>
      <c r="F72" s="134">
        <v>0.95432917703517861</v>
      </c>
    </row>
    <row r="73" spans="1:6">
      <c r="A73" s="53">
        <v>6</v>
      </c>
      <c r="B73" s="133">
        <v>1.0388865031659509</v>
      </c>
      <c r="C73" s="133">
        <v>1.0413321935415794</v>
      </c>
      <c r="D73" s="133">
        <v>1.0247132708127678</v>
      </c>
      <c r="E73" s="133">
        <v>0.98829188377530042</v>
      </c>
      <c r="F73" s="134">
        <v>0.98829188377530042</v>
      </c>
    </row>
    <row r="74" spans="1:6">
      <c r="A74" s="53">
        <v>7</v>
      </c>
      <c r="B74" s="133">
        <v>1.0453550888623573</v>
      </c>
      <c r="C74" s="133">
        <v>1.0503565549035345</v>
      </c>
      <c r="D74" s="133">
        <v>1.0511837160745836</v>
      </c>
      <c r="E74" s="133">
        <v>1.0462776300665513</v>
      </c>
      <c r="F74" s="134">
        <v>1.0462776300665513</v>
      </c>
    </row>
    <row r="75" spans="1:6">
      <c r="A75" s="53">
        <v>8</v>
      </c>
      <c r="B75" s="133">
        <v>1.0386263289632758</v>
      </c>
      <c r="C75" s="133">
        <v>1.0480464190323309</v>
      </c>
      <c r="D75" s="133">
        <v>1.0606818448668032</v>
      </c>
      <c r="E75" s="133">
        <v>1.0836684235288379</v>
      </c>
      <c r="F75" s="134">
        <v>1.0836684235288379</v>
      </c>
    </row>
    <row r="76" spans="1:6">
      <c r="A76" s="53">
        <v>9</v>
      </c>
      <c r="B76" s="133">
        <v>1.1035462781196221</v>
      </c>
      <c r="C76" s="133">
        <v>1.1087112680299849</v>
      </c>
      <c r="D76" s="133">
        <v>1.1159336443343306</v>
      </c>
      <c r="E76" s="133">
        <v>1.1328427950763176</v>
      </c>
      <c r="F76" s="134">
        <v>1.1328427950763176</v>
      </c>
    </row>
    <row r="77" spans="1:6">
      <c r="A77" s="53">
        <v>10</v>
      </c>
      <c r="B77" s="133">
        <v>1.0511182536999728</v>
      </c>
      <c r="C77" s="133">
        <v>1.0561006423689792</v>
      </c>
      <c r="D77" s="133">
        <v>1.0637254792037525</v>
      </c>
      <c r="E77" s="133">
        <v>1.0713968374080052</v>
      </c>
      <c r="F77" s="134">
        <v>1.0713968374080052</v>
      </c>
    </row>
    <row r="78" spans="1:6">
      <c r="A78" s="53">
        <v>11</v>
      </c>
      <c r="B78" s="133">
        <v>0.98634070018556164</v>
      </c>
      <c r="C78" s="133">
        <v>0.99566066114980589</v>
      </c>
      <c r="D78" s="133">
        <v>1.0218857700603492</v>
      </c>
      <c r="E78" s="133">
        <v>1.0102332900990267</v>
      </c>
      <c r="F78" s="134">
        <v>1.0102332900990267</v>
      </c>
    </row>
    <row r="79" spans="1:6">
      <c r="A79" s="53">
        <v>12</v>
      </c>
      <c r="B79" s="133">
        <v>0.97186804899459556</v>
      </c>
      <c r="C79" s="133">
        <v>0.97124583410379217</v>
      </c>
      <c r="D79" s="133">
        <v>1.002008705568864</v>
      </c>
      <c r="E79" s="133">
        <v>1.0183936578281643</v>
      </c>
      <c r="F79" s="134">
        <v>1.0183936578281643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8" ma:contentTypeDescription="Create a new document." ma:contentTypeScope="" ma:versionID="90f1211ce1fcedcf0ffee23c4e0251e4">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c7202648f089093642f6672c4498485b"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D714C5E6-1C95-470A-A7D1-1F3F7288EECC}"/>
</file>

<file path=customXml/itemProps2.xml><?xml version="1.0" encoding="utf-8"?>
<ds:datastoreItem xmlns:ds="http://schemas.openxmlformats.org/officeDocument/2006/customXml" ds:itemID="{4E6B2E08-E806-45E8-9AE4-D4FC7409C7BF}"/>
</file>

<file path=customXml/itemProps3.xml><?xml version="1.0" encoding="utf-8"?>
<ds:datastoreItem xmlns:ds="http://schemas.openxmlformats.org/officeDocument/2006/customXml" ds:itemID="{2D83A1BE-822B-4C3D-9D5C-ED1A36A0FC3B}"/>
</file>

<file path=docProps/app.xml><?xml version="1.0" encoding="utf-8"?>
<Properties xmlns="http://schemas.openxmlformats.org/officeDocument/2006/extended-properties" xmlns:vt="http://schemas.openxmlformats.org/officeDocument/2006/docPropsVTypes">
  <Application>Microsoft Excel Online</Application>
  <Manager/>
  <Company>Oklahoma State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ceward</dc:creator>
  <cp:keywords/>
  <dc:description/>
  <cp:lastModifiedBy/>
  <cp:revision/>
  <dcterms:created xsi:type="dcterms:W3CDTF">2007-09-05T19:11:35Z</dcterms:created>
  <dcterms:modified xsi:type="dcterms:W3CDTF">2024-10-21T22:45:09Z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Order">
    <vt:r8>8300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