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diancattlemens.sharepoint.com/sites/BCRC/Shared Documents/Extension &amp; Communications/Record Keeping Benchmarking Project 2018-2020/"/>
    </mc:Choice>
  </mc:AlternateContent>
  <xr:revisionPtr revIDLastSave="0" documentId="8_{A1E098E4-61C5-482E-8378-EC470A63C5E4}" xr6:coauthVersionLast="45" xr6:coauthVersionMax="45" xr10:uidLastSave="{00000000-0000-0000-0000-000000000000}"/>
  <bookViews>
    <workbookView xWindow="-120" yWindow="-120" windowWidth="29040" windowHeight="15840" xr2:uid="{841DEBC6-8DBA-415F-996E-B327DB4D1D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1" l="1"/>
  <c r="D64" i="1"/>
  <c r="B64" i="1"/>
  <c r="C38" i="1"/>
  <c r="D38" i="1"/>
  <c r="B38" i="1"/>
  <c r="D9" i="1" l="1"/>
  <c r="D30" i="1"/>
  <c r="D42" i="1"/>
  <c r="D41" i="1"/>
  <c r="D27" i="1"/>
  <c r="D67" i="1" s="1"/>
  <c r="D6" i="1"/>
  <c r="D7" i="1"/>
  <c r="C9" i="1"/>
  <c r="C4" i="1"/>
  <c r="C60" i="1"/>
  <c r="B60" i="1"/>
  <c r="C59" i="1"/>
  <c r="C61" i="1"/>
  <c r="C67" i="1"/>
  <c r="C42" i="1"/>
  <c r="B7" i="1"/>
  <c r="B50" i="1"/>
  <c r="B27" i="1"/>
  <c r="B41" i="1"/>
  <c r="B11" i="1"/>
  <c r="B15" i="1" s="1"/>
  <c r="C7" i="1"/>
  <c r="C66" i="1" s="1"/>
  <c r="B61" i="1" l="1"/>
  <c r="B52" i="1"/>
  <c r="B67" i="1"/>
  <c r="D50" i="1"/>
  <c r="D52" i="1"/>
  <c r="B66" i="1"/>
  <c r="C50" i="1"/>
  <c r="C52" i="1"/>
  <c r="D10" i="1"/>
  <c r="D11" i="1"/>
  <c r="D66" i="1"/>
  <c r="D60" i="1"/>
  <c r="D61" i="1"/>
  <c r="D59" i="1"/>
  <c r="C11" i="1"/>
  <c r="C15" i="1" s="1"/>
  <c r="C16" i="1" s="1"/>
  <c r="D58" i="1"/>
  <c r="B51" i="1"/>
  <c r="B55" i="1"/>
  <c r="D55" i="1"/>
  <c r="B54" i="1"/>
  <c r="B42" i="1"/>
  <c r="B63" i="1" s="1"/>
  <c r="B58" i="1"/>
  <c r="C58" i="1"/>
  <c r="B56" i="1"/>
  <c r="C55" i="1"/>
  <c r="B59" i="1"/>
  <c r="B16" i="1"/>
  <c r="D56" i="1" l="1"/>
  <c r="D15" i="1"/>
  <c r="D16" i="1" s="1"/>
  <c r="D54" i="1"/>
  <c r="D51" i="1"/>
  <c r="D63" i="1"/>
  <c r="C56" i="1"/>
  <c r="C54" i="1"/>
  <c r="C51" i="1"/>
  <c r="C63" i="1"/>
</calcChain>
</file>

<file path=xl/sharedStrings.xml><?xml version="1.0" encoding="utf-8"?>
<sst xmlns="http://schemas.openxmlformats.org/spreadsheetml/2006/main" count="60" uniqueCount="57">
  <si>
    <t>ABC</t>
  </si>
  <si>
    <t>MNO</t>
  </si>
  <si>
    <t>XYZ</t>
  </si>
  <si>
    <t>Balance Sheet</t>
  </si>
  <si>
    <t>Total Assets</t>
  </si>
  <si>
    <t>Total Liabilities</t>
  </si>
  <si>
    <t>Equity</t>
  </si>
  <si>
    <t>Total Liabilities &amp; Equity</t>
  </si>
  <si>
    <t>Income Statement</t>
  </si>
  <si>
    <t>Income</t>
  </si>
  <si>
    <t>Sales</t>
  </si>
  <si>
    <t>Government Income</t>
  </si>
  <si>
    <t>Other Income</t>
  </si>
  <si>
    <t>Interest/Dividends</t>
  </si>
  <si>
    <t>Custom work revenue</t>
  </si>
  <si>
    <t>Farm income rentals</t>
  </si>
  <si>
    <t>Other income</t>
  </si>
  <si>
    <t>Expenses</t>
  </si>
  <si>
    <t>Inventory valuation change (accural only)</t>
  </si>
  <si>
    <t>Salaries and wages</t>
  </si>
  <si>
    <t>Building and Machinery Repairs</t>
  </si>
  <si>
    <t>Auto expenses</t>
  </si>
  <si>
    <t>Fuel</t>
  </si>
  <si>
    <t>Other operating and administrative (e.g. legal, accounting, insurance)</t>
  </si>
  <si>
    <t>Depreciation (bulidng and machinery)</t>
  </si>
  <si>
    <t>Bank service fees</t>
  </si>
  <si>
    <t>Loan interest</t>
  </si>
  <si>
    <t>Utilities</t>
  </si>
  <si>
    <t>Property Tax</t>
  </si>
  <si>
    <t>Long-term Assets (e.g. land, equipment)</t>
  </si>
  <si>
    <t>Current Liabilities (e.g. accounts payable, current portion of LT liabilities)</t>
  </si>
  <si>
    <t>Current Assets (e.g. cash, accounts recievable, inventory)</t>
  </si>
  <si>
    <t>Long-term Liabilities (e.g. loans longer than 12 months)</t>
  </si>
  <si>
    <t>Total Expenses</t>
  </si>
  <si>
    <t>Net Income (before income tax)</t>
  </si>
  <si>
    <t>Financial Ratios</t>
  </si>
  <si>
    <t>Current Ratio = Current Assets/Current Liabilities</t>
  </si>
  <si>
    <t>Quick Ratio = Cash Equivalents / Current Liabilities</t>
  </si>
  <si>
    <t>Debt to Asset Ratio = Total Liabilities/Total Assets</t>
  </si>
  <si>
    <t>Equity to Asset Ratio = Total Equity / Total Assets</t>
  </si>
  <si>
    <t>Debt to Equity Ratio = Total Debt / Total Equity</t>
  </si>
  <si>
    <t>Return on Assets = Income / Total Assets</t>
  </si>
  <si>
    <t>Return on Equity = Income/ Total Equity</t>
  </si>
  <si>
    <t>Operating Profit Margin Ratio = Income - owner withdrawl for unpaid labour and management / Revenues</t>
  </si>
  <si>
    <t>Net Income (before income tax) = Total Revenue - Total expenses (before income tax)</t>
  </si>
  <si>
    <t>Asset Turnover Ratio = Total Revenue / Total Assets</t>
  </si>
  <si>
    <t>Operating Expense Ratio = Operating Expenses / Total Revenue</t>
  </si>
  <si>
    <t xml:space="preserve">     Cash Equivalents</t>
  </si>
  <si>
    <t>Production Expenses (Operating expense)</t>
  </si>
  <si>
    <t>Total Income (Revenue)</t>
  </si>
  <si>
    <t>Debt Payout Ratio = Total Liabilities / Net Income</t>
  </si>
  <si>
    <t>Owner withdrawal for unpaid labour and management (varies based on personal perferences)</t>
  </si>
  <si>
    <t>Farm Name</t>
  </si>
  <si>
    <r>
      <t xml:space="preserve">Income Tax </t>
    </r>
    <r>
      <rPr>
        <i/>
        <sz val="11"/>
        <color theme="9"/>
        <rFont val="Calibri"/>
        <family val="2"/>
        <scheme val="minor"/>
      </rPr>
      <t>(will vary depending on if sole propriter or corporation)</t>
    </r>
  </si>
  <si>
    <t>Working Capital = (Current Assets - Current Liabilities) / annual expenses</t>
  </si>
  <si>
    <t>Off-Farm Income</t>
  </si>
  <si>
    <t>Debt Service Coverage Ratio = "Income" / "Debt Service"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</si>
</sst>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2" borderId="0" xfId="0" applyFont="1" applyFill="1"/>
    <xf numFmtId="0" fontId="0" fillId="2" borderId="0" xfId="0" applyFill="1"/>
    <xf numFmtId="44" fontId="0" fillId="0" borderId="0" xfId="2" applyFont="1"/>
    <xf numFmtId="44" fontId="0" fillId="0" borderId="0" xfId="0" applyNumberFormat="1"/>
    <xf numFmtId="43" fontId="0" fillId="0" borderId="0" xfId="1" applyFont="1"/>
    <xf numFmtId="0" fontId="0" fillId="0" borderId="0" xfId="0" applyFill="1"/>
    <xf numFmtId="44" fontId="1" fillId="0" borderId="0" xfId="2" applyFont="1"/>
    <xf numFmtId="44" fontId="1" fillId="0" borderId="0" xfId="0" applyNumberFormat="1" applyFont="1"/>
    <xf numFmtId="0" fontId="1" fillId="2" borderId="0" xfId="0" applyFont="1" applyFill="1"/>
    <xf numFmtId="0" fontId="3" fillId="0" borderId="0" xfId="0" applyFont="1"/>
    <xf numFmtId="44" fontId="0" fillId="0" borderId="0" xfId="2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9" fontId="0" fillId="0" borderId="0" xfId="3" applyFont="1"/>
    <xf numFmtId="0" fontId="1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E0E5-D521-4C6E-8068-C81E68CDE110}">
  <dimension ref="A1:E68"/>
  <sheetViews>
    <sheetView tabSelected="1" zoomScaleNormal="10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F49" sqref="F49:F67"/>
    </sheetView>
  </sheetViews>
  <sheetFormatPr defaultRowHeight="15" x14ac:dyDescent="0.25"/>
  <cols>
    <col min="1" max="1" width="88.7109375" bestFit="1" customWidth="1"/>
    <col min="2" max="2" width="14.140625" bestFit="1" customWidth="1"/>
    <col min="3" max="4" width="13.85546875" bestFit="1" customWidth="1"/>
  </cols>
  <sheetData>
    <row r="1" spans="1:4" x14ac:dyDescent="0.25">
      <c r="A1" s="1"/>
      <c r="B1" s="18" t="s">
        <v>52</v>
      </c>
      <c r="C1" s="18"/>
      <c r="D1" s="18"/>
    </row>
    <row r="2" spans="1:4" x14ac:dyDescent="0.25">
      <c r="A2" s="1"/>
      <c r="B2" s="15" t="s">
        <v>0</v>
      </c>
      <c r="C2" s="15" t="s">
        <v>1</v>
      </c>
      <c r="D2" s="15" t="s">
        <v>2</v>
      </c>
    </row>
    <row r="3" spans="1:4" ht="15.75" x14ac:dyDescent="0.25">
      <c r="A3" s="4" t="s">
        <v>3</v>
      </c>
      <c r="B3" s="5"/>
      <c r="C3" s="5"/>
      <c r="D3" s="5"/>
    </row>
    <row r="4" spans="1:4" s="9" customFormat="1" x14ac:dyDescent="0.25">
      <c r="A4" t="s">
        <v>47</v>
      </c>
      <c r="B4" s="14">
        <v>40000</v>
      </c>
      <c r="C4" s="14">
        <f>29000+149800</f>
        <v>178800</v>
      </c>
      <c r="D4" s="14">
        <v>51761</v>
      </c>
    </row>
    <row r="5" spans="1:4" x14ac:dyDescent="0.25">
      <c r="A5" t="s">
        <v>31</v>
      </c>
      <c r="B5" s="6">
        <v>340000</v>
      </c>
      <c r="C5" s="6">
        <v>328300</v>
      </c>
      <c r="D5" s="6">
        <v>158851</v>
      </c>
    </row>
    <row r="6" spans="1:4" x14ac:dyDescent="0.25">
      <c r="A6" t="s">
        <v>29</v>
      </c>
      <c r="B6" s="6">
        <v>2200000</v>
      </c>
      <c r="C6" s="6">
        <v>985784</v>
      </c>
      <c r="D6" s="6">
        <f>533800+1789933</f>
        <v>2323733</v>
      </c>
    </row>
    <row r="7" spans="1:4" x14ac:dyDescent="0.25">
      <c r="A7" s="1" t="s">
        <v>4</v>
      </c>
      <c r="B7" s="11">
        <f>+SUM(B5:B6)</f>
        <v>2540000</v>
      </c>
      <c r="C7" s="11">
        <f>+SUM(C5:C6)</f>
        <v>1314084</v>
      </c>
      <c r="D7" s="11">
        <f>+SUM(D5:D6)</f>
        <v>2482584</v>
      </c>
    </row>
    <row r="9" spans="1:4" x14ac:dyDescent="0.25">
      <c r="A9" t="s">
        <v>30</v>
      </c>
      <c r="B9" s="6">
        <v>122500</v>
      </c>
      <c r="C9" s="6">
        <f>352085</f>
        <v>352085</v>
      </c>
      <c r="D9" s="6">
        <f>+D4/0.56</f>
        <v>92430.35714285713</v>
      </c>
    </row>
    <row r="10" spans="1:4" x14ac:dyDescent="0.25">
      <c r="A10" t="s">
        <v>32</v>
      </c>
      <c r="B10" s="6">
        <v>476200</v>
      </c>
      <c r="C10" s="6">
        <v>417757</v>
      </c>
      <c r="D10" s="6">
        <f>769601.04-D9</f>
        <v>677170.68285714288</v>
      </c>
    </row>
    <row r="11" spans="1:4" x14ac:dyDescent="0.25">
      <c r="A11" s="1" t="s">
        <v>5</v>
      </c>
      <c r="B11" s="11">
        <f>+SUM(B9:B10)</f>
        <v>598700</v>
      </c>
      <c r="C11" s="11">
        <f t="shared" ref="C11:D11" si="0">+SUM(C9:C10)</f>
        <v>769842</v>
      </c>
      <c r="D11" s="11">
        <f t="shared" si="0"/>
        <v>769601.04</v>
      </c>
    </row>
    <row r="13" spans="1:4" x14ac:dyDescent="0.25">
      <c r="A13" t="s">
        <v>6</v>
      </c>
      <c r="B13" s="6">
        <v>1941300</v>
      </c>
      <c r="C13" s="6">
        <v>544242</v>
      </c>
      <c r="D13" s="6">
        <v>1712982.96</v>
      </c>
    </row>
    <row r="15" spans="1:4" x14ac:dyDescent="0.25">
      <c r="A15" t="s">
        <v>7</v>
      </c>
      <c r="B15" s="7">
        <f>+B11+B13</f>
        <v>2540000</v>
      </c>
      <c r="C15" s="7">
        <f t="shared" ref="C15" si="1">+C11+C13</f>
        <v>1314084</v>
      </c>
      <c r="D15" s="7">
        <f>+D11+D13</f>
        <v>2482584</v>
      </c>
    </row>
    <row r="16" spans="1:4" x14ac:dyDescent="0.25">
      <c r="B16" s="8">
        <f>+B7-B15</f>
        <v>0</v>
      </c>
      <c r="C16" s="8">
        <f t="shared" ref="C16:D16" si="2">+C7-C15</f>
        <v>0</v>
      </c>
      <c r="D16" s="8">
        <f t="shared" si="2"/>
        <v>0</v>
      </c>
    </row>
    <row r="17" spans="1:4" ht="15.75" x14ac:dyDescent="0.25">
      <c r="A17" s="4" t="s">
        <v>8</v>
      </c>
      <c r="B17" s="5"/>
      <c r="C17" s="5"/>
      <c r="D17" s="5"/>
    </row>
    <row r="18" spans="1:4" x14ac:dyDescent="0.25">
      <c r="A18" s="1" t="s">
        <v>9</v>
      </c>
    </row>
    <row r="19" spans="1:4" x14ac:dyDescent="0.25">
      <c r="A19" t="s">
        <v>10</v>
      </c>
    </row>
    <row r="20" spans="1:4" x14ac:dyDescent="0.25">
      <c r="A20" t="s">
        <v>11</v>
      </c>
    </row>
    <row r="21" spans="1:4" x14ac:dyDescent="0.25">
      <c r="A21" s="3" t="s">
        <v>18</v>
      </c>
    </row>
    <row r="22" spans="1:4" x14ac:dyDescent="0.25">
      <c r="A22" s="1" t="s">
        <v>12</v>
      </c>
    </row>
    <row r="23" spans="1:4" x14ac:dyDescent="0.25">
      <c r="A23" s="2" t="s">
        <v>13</v>
      </c>
    </row>
    <row r="24" spans="1:4" x14ac:dyDescent="0.25">
      <c r="A24" t="s">
        <v>14</v>
      </c>
    </row>
    <row r="25" spans="1:4" x14ac:dyDescent="0.25">
      <c r="A25" t="s">
        <v>15</v>
      </c>
    </row>
    <row r="26" spans="1:4" x14ac:dyDescent="0.25">
      <c r="A26" t="s">
        <v>16</v>
      </c>
    </row>
    <row r="27" spans="1:4" x14ac:dyDescent="0.25">
      <c r="A27" s="1" t="s">
        <v>49</v>
      </c>
      <c r="B27" s="10">
        <f>942700-17000</f>
        <v>925700</v>
      </c>
      <c r="C27" s="10">
        <v>687508</v>
      </c>
      <c r="D27" s="10">
        <f>194879+79000</f>
        <v>273879</v>
      </c>
    </row>
    <row r="28" spans="1:4" x14ac:dyDescent="0.25">
      <c r="A28" s="1"/>
      <c r="B28" s="6"/>
    </row>
    <row r="29" spans="1:4" x14ac:dyDescent="0.25">
      <c r="A29" s="1" t="s">
        <v>17</v>
      </c>
    </row>
    <row r="30" spans="1:4" x14ac:dyDescent="0.25">
      <c r="A30" t="s">
        <v>48</v>
      </c>
      <c r="B30" s="14">
        <v>630000</v>
      </c>
      <c r="C30" s="6">
        <v>27900</v>
      </c>
      <c r="D30" s="6">
        <f>79000+1400+14000+306+1206.1+4478+32960+26892</f>
        <v>160242.1</v>
      </c>
    </row>
    <row r="31" spans="1:4" x14ac:dyDescent="0.25">
      <c r="A31" t="s">
        <v>19</v>
      </c>
    </row>
    <row r="32" spans="1:4" x14ac:dyDescent="0.25">
      <c r="A32" t="s">
        <v>20</v>
      </c>
    </row>
    <row r="33" spans="1:4" x14ac:dyDescent="0.25">
      <c r="A33" t="s">
        <v>21</v>
      </c>
    </row>
    <row r="34" spans="1:4" x14ac:dyDescent="0.25">
      <c r="A34" t="s">
        <v>22</v>
      </c>
    </row>
    <row r="35" spans="1:4" x14ac:dyDescent="0.25">
      <c r="A35" t="s">
        <v>23</v>
      </c>
    </row>
    <row r="36" spans="1:4" x14ac:dyDescent="0.25">
      <c r="A36" s="3" t="s">
        <v>24</v>
      </c>
    </row>
    <row r="37" spans="1:4" x14ac:dyDescent="0.25">
      <c r="A37" t="s">
        <v>25</v>
      </c>
    </row>
    <row r="38" spans="1:4" x14ac:dyDescent="0.25">
      <c r="A38" t="s">
        <v>26</v>
      </c>
      <c r="B38" s="6">
        <f>+(B11*0.07)</f>
        <v>41909.000000000007</v>
      </c>
      <c r="C38" s="6">
        <f>+(C11*0.04)</f>
        <v>30793.68</v>
      </c>
      <c r="D38" s="6">
        <f>+(D11*0.05)</f>
        <v>38480.052000000003</v>
      </c>
    </row>
    <row r="39" spans="1:4" x14ac:dyDescent="0.25">
      <c r="A39" t="s">
        <v>27</v>
      </c>
    </row>
    <row r="40" spans="1:4" x14ac:dyDescent="0.25">
      <c r="A40" t="s">
        <v>28</v>
      </c>
    </row>
    <row r="41" spans="1:4" x14ac:dyDescent="0.25">
      <c r="A41" s="1" t="s">
        <v>33</v>
      </c>
      <c r="B41" s="10">
        <f>780900-52300</f>
        <v>728600</v>
      </c>
      <c r="C41" s="10">
        <v>595697</v>
      </c>
      <c r="D41" s="10">
        <f>90986+142990+79000</f>
        <v>312976</v>
      </c>
    </row>
    <row r="42" spans="1:4" x14ac:dyDescent="0.25">
      <c r="A42" t="s">
        <v>34</v>
      </c>
      <c r="B42" s="7">
        <f>+B27-B41</f>
        <v>197100</v>
      </c>
      <c r="C42" s="7">
        <f>+C27-C41</f>
        <v>91811</v>
      </c>
      <c r="D42" s="7">
        <f>+D27-D41</f>
        <v>-39097</v>
      </c>
    </row>
    <row r="43" spans="1:4" x14ac:dyDescent="0.25">
      <c r="B43" s="6"/>
    </row>
    <row r="44" spans="1:4" x14ac:dyDescent="0.25">
      <c r="A44" s="3" t="s">
        <v>53</v>
      </c>
    </row>
    <row r="46" spans="1:4" x14ac:dyDescent="0.25">
      <c r="A46" t="s">
        <v>51</v>
      </c>
      <c r="B46" s="6">
        <v>52300</v>
      </c>
      <c r="C46" s="6">
        <v>1100</v>
      </c>
      <c r="D46" s="6">
        <v>6000</v>
      </c>
    </row>
    <row r="47" spans="1:4" x14ac:dyDescent="0.25">
      <c r="A47" t="s">
        <v>55</v>
      </c>
      <c r="B47" s="6">
        <v>0</v>
      </c>
      <c r="C47" s="6">
        <v>80000</v>
      </c>
      <c r="D47" s="6">
        <v>100000</v>
      </c>
    </row>
    <row r="49" spans="1:4" x14ac:dyDescent="0.25">
      <c r="A49" s="12" t="s">
        <v>35</v>
      </c>
      <c r="B49" s="16" t="s">
        <v>0</v>
      </c>
      <c r="C49" s="16" t="s">
        <v>1</v>
      </c>
      <c r="D49" s="16" t="s">
        <v>2</v>
      </c>
    </row>
    <row r="50" spans="1:4" x14ac:dyDescent="0.25">
      <c r="A50" t="s">
        <v>36</v>
      </c>
      <c r="B50" s="8">
        <f>+B5/B9</f>
        <v>2.7755102040816326</v>
      </c>
      <c r="C50" s="8">
        <f>+C5/C9</f>
        <v>0.93244529019980971</v>
      </c>
      <c r="D50" s="8">
        <f>+D5/D9</f>
        <v>1.7186020362821433</v>
      </c>
    </row>
    <row r="51" spans="1:4" x14ac:dyDescent="0.25">
      <c r="A51" t="s">
        <v>37</v>
      </c>
      <c r="B51" s="8">
        <f>+B4/B11</f>
        <v>6.6811424753632873E-2</v>
      </c>
      <c r="C51" s="8">
        <f>+C4/C11</f>
        <v>0.23225544981957336</v>
      </c>
      <c r="D51" s="8">
        <f>+D4/D11</f>
        <v>6.7256925744279134E-2</v>
      </c>
    </row>
    <row r="52" spans="1:4" x14ac:dyDescent="0.25">
      <c r="A52" t="s">
        <v>54</v>
      </c>
      <c r="B52" s="17">
        <f>(B5-B9)/B41</f>
        <v>0.29851770518803183</v>
      </c>
      <c r="C52" s="17">
        <f>(C5-C9)/C41</f>
        <v>-3.9928017095939718E-2</v>
      </c>
      <c r="D52" s="17">
        <f>(D5-D9)/D41</f>
        <v>0.21222279937484942</v>
      </c>
    </row>
    <row r="54" spans="1:4" x14ac:dyDescent="0.25">
      <c r="A54" t="s">
        <v>38</v>
      </c>
      <c r="B54" s="8">
        <f>+B11/B7</f>
        <v>0.23570866141732283</v>
      </c>
      <c r="C54" s="8">
        <f>+C11/C7</f>
        <v>0.58583926141707832</v>
      </c>
      <c r="D54" s="8">
        <f>+D11/D7</f>
        <v>0.31</v>
      </c>
    </row>
    <row r="55" spans="1:4" x14ac:dyDescent="0.25">
      <c r="A55" t="s">
        <v>39</v>
      </c>
      <c r="B55" s="8">
        <f>+B13/B7</f>
        <v>0.76429133858267717</v>
      </c>
      <c r="C55" s="8">
        <f>+C13/C7</f>
        <v>0.41416073858292163</v>
      </c>
      <c r="D55" s="8">
        <f>+D13/D7</f>
        <v>0.69</v>
      </c>
    </row>
    <row r="56" spans="1:4" x14ac:dyDescent="0.25">
      <c r="A56" t="s">
        <v>40</v>
      </c>
      <c r="B56" s="8">
        <f>+B11/B13</f>
        <v>0.30840158656570338</v>
      </c>
      <c r="C56" s="8">
        <f>+C11/C13</f>
        <v>1.4145214812528251</v>
      </c>
      <c r="D56" s="8">
        <f>+D11/D13</f>
        <v>0.44927536231884063</v>
      </c>
    </row>
    <row r="58" spans="1:4" x14ac:dyDescent="0.25">
      <c r="A58" t="s">
        <v>41</v>
      </c>
      <c r="B58" s="8">
        <f>+B27/B7</f>
        <v>0.36444881889763781</v>
      </c>
      <c r="C58" s="8">
        <f>+C27/C7</f>
        <v>0.52318421044621199</v>
      </c>
      <c r="D58" s="8">
        <f>+D27/D7</f>
        <v>0.11032013418277085</v>
      </c>
    </row>
    <row r="59" spans="1:4" x14ac:dyDescent="0.25">
      <c r="A59" t="s">
        <v>42</v>
      </c>
      <c r="B59" s="8">
        <f>+B27/B13</f>
        <v>0.47684541286766602</v>
      </c>
      <c r="C59" s="8">
        <f>+C27/C13</f>
        <v>1.2632395147746776</v>
      </c>
      <c r="D59" s="8">
        <f>+D27/D13</f>
        <v>0.15988425243879834</v>
      </c>
    </row>
    <row r="60" spans="1:4" x14ac:dyDescent="0.25">
      <c r="A60" t="s">
        <v>43</v>
      </c>
      <c r="B60" s="8">
        <f>(B27-B46)/B27</f>
        <v>0.94350221454034788</v>
      </c>
      <c r="C60" s="8">
        <f>(C27-C46)/C27</f>
        <v>0.99840001861796512</v>
      </c>
      <c r="D60" s="8">
        <f>(D27-D46)/D27</f>
        <v>0.9780925153078549</v>
      </c>
    </row>
    <row r="61" spans="1:4" x14ac:dyDescent="0.25">
      <c r="A61" t="s">
        <v>44</v>
      </c>
      <c r="B61" s="7">
        <f>+B27-B41</f>
        <v>197100</v>
      </c>
      <c r="C61" s="7">
        <f>+C27-C41</f>
        <v>91811</v>
      </c>
      <c r="D61" s="7">
        <f>+D27-D41</f>
        <v>-39097</v>
      </c>
    </row>
    <row r="63" spans="1:4" x14ac:dyDescent="0.25">
      <c r="A63" t="s">
        <v>50</v>
      </c>
      <c r="B63" s="8">
        <f>+B11/B42</f>
        <v>3.0375443937087772</v>
      </c>
      <c r="C63" s="8">
        <f>+C11/C42</f>
        <v>8.3850736839812221</v>
      </c>
      <c r="D63" s="8">
        <f>+D11/D42</f>
        <v>-19.684401360718216</v>
      </c>
    </row>
    <row r="64" spans="1:4" x14ac:dyDescent="0.25">
      <c r="A64" t="s">
        <v>56</v>
      </c>
      <c r="B64" s="17">
        <f>+(B42-B38+B47)/(B9+B38)</f>
        <v>0.94393250977744525</v>
      </c>
      <c r="C64" s="17">
        <f t="shared" ref="C64:D64" si="3">+(C42-C38+C47)/(C9+C38)</f>
        <v>0.36830810219049026</v>
      </c>
      <c r="D64" s="17">
        <f t="shared" si="3"/>
        <v>0.17128468352375834</v>
      </c>
    </row>
    <row r="66" spans="1:5" x14ac:dyDescent="0.25">
      <c r="A66" t="s">
        <v>45</v>
      </c>
      <c r="B66" s="8">
        <f>+B27/B7</f>
        <v>0.36444881889763781</v>
      </c>
      <c r="C66" s="8">
        <f>+C27/C7</f>
        <v>0.52318421044621199</v>
      </c>
      <c r="D66" s="8">
        <f>+D27/D7</f>
        <v>0.11032013418277085</v>
      </c>
    </row>
    <row r="67" spans="1:5" x14ac:dyDescent="0.25">
      <c r="A67" t="s">
        <v>46</v>
      </c>
      <c r="B67" s="8">
        <f>+B30/B27</f>
        <v>0.68056605811818083</v>
      </c>
      <c r="C67" s="8">
        <f>+C30/C27</f>
        <v>4.0581345962519708E-2</v>
      </c>
      <c r="D67" s="8">
        <f>+D30/D27</f>
        <v>0.58508355879786333</v>
      </c>
    </row>
    <row r="68" spans="1:5" x14ac:dyDescent="0.25">
      <c r="A68" s="5"/>
      <c r="B68" s="5"/>
      <c r="C68" s="5"/>
      <c r="D68" s="5"/>
      <c r="E68" s="13"/>
    </row>
  </sheetData>
  <mergeCells count="1">
    <mergeCell ref="B1:D1"/>
  </mergeCells>
  <pageMargins left="0.7" right="0.7" top="0.75" bottom="0.75" header="0.3" footer="0.3"/>
  <pageSetup scale="6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2" ma:contentTypeDescription="Create a new document." ma:contentTypeScope="" ma:versionID="86c9cf41237e50ed94b5744141327531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aa99db4f27d45383cee77817985fb86b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E00E30-BB73-402A-9510-2A824EA9A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526d9-6600-41fe-ac9f-b553f9b8b298"/>
    <ds:schemaRef ds:uri="251cae61-8135-4a88-bc5f-8b47aaccd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015F90-D104-4A8D-B8DB-555495448D5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de526d9-6600-41fe-ac9f-b553f9b8b298"/>
    <ds:schemaRef ds:uri="251cae61-8135-4a88-bc5f-8b47aaccd9f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BD9F7A-10D8-429F-9F40-23C8A70C4C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 Grant</dc:creator>
  <cp:lastModifiedBy>Ellen Crane</cp:lastModifiedBy>
  <dcterms:created xsi:type="dcterms:W3CDTF">2020-07-17T17:54:15Z</dcterms:created>
  <dcterms:modified xsi:type="dcterms:W3CDTF">2020-09-02T12:52:28Z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