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defaultThemeVersion="166925"/>
  <mc:AlternateContent xmlns:mc="http://schemas.openxmlformats.org/markup-compatibility/2006">
    <mc:Choice Requires="x15">
      <x15ac:absPath xmlns:x15ac="http://schemas.microsoft.com/office/spreadsheetml/2010/11/ac" url="https://canadiancattlemens.sharepoint.com/sites/BCRC/Shared Documents/Extension &amp; Communications/Website/Decision tools/Value of crops for feed calculator/2025 Update/"/>
    </mc:Choice>
  </mc:AlternateContent>
  <xr:revisionPtr revIDLastSave="0" documentId="8_{D3F03930-8623-431D-AB83-CA189D55EAC6}" xr6:coauthVersionLast="47" xr6:coauthVersionMax="47" xr10:uidLastSave="{00000000-0000-0000-0000-000000000000}"/>
  <bookViews>
    <workbookView xWindow="-103" yWindow="-103" windowWidth="21600" windowHeight="13749" xr2:uid="{38AB4CF9-058E-4C18-BF70-E9C53D8EB657}"/>
  </bookViews>
  <sheets>
    <sheet name="Calculator" sheetId="1" r:id="rId1"/>
    <sheet name="Tables" sheetId="2" state="hidden" r:id="rId2"/>
  </sheets>
  <definedNames>
    <definedName name="_xlnm.Print_Area" localSheetId="0">Calculator!$A$1:$J$71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F21" i="1" s="1"/>
  <c r="F63" i="1"/>
  <c r="D51" i="1" l="1"/>
  <c r="E51" i="1"/>
  <c r="E59" i="1" s="1"/>
  <c r="B51" i="1"/>
  <c r="C51" i="1"/>
  <c r="C59" i="1" s="1"/>
  <c r="B59" i="1"/>
  <c r="C61" i="1"/>
  <c r="B62" i="1"/>
  <c r="D62" i="1"/>
  <c r="E62" i="1"/>
  <c r="D59" i="1"/>
  <c r="E53" i="1"/>
  <c r="E61" i="1" s="1"/>
  <c r="D53" i="1"/>
  <c r="D61" i="1" s="1"/>
  <c r="C52" i="1"/>
  <c r="C60" i="1" s="1"/>
  <c r="J8" i="2" l="1"/>
  <c r="K8" i="2"/>
  <c r="L8" i="2"/>
  <c r="M8" i="2"/>
  <c r="J7" i="2"/>
  <c r="K7" i="2"/>
  <c r="L7" i="2"/>
  <c r="M7" i="2"/>
  <c r="J6" i="2"/>
  <c r="K6" i="2"/>
  <c r="L6" i="2"/>
  <c r="M6" i="2"/>
  <c r="J5" i="2"/>
  <c r="K5" i="2"/>
  <c r="L5" i="2"/>
  <c r="M5" i="2"/>
  <c r="K9" i="2" l="1"/>
  <c r="J9" i="2"/>
  <c r="M9" i="2"/>
  <c r="B53" i="1" s="1"/>
  <c r="B61" i="1" s="1"/>
  <c r="L9" i="2"/>
  <c r="G32" i="2"/>
  <c r="F32" i="2"/>
  <c r="E32" i="2"/>
  <c r="D32" i="2"/>
  <c r="G28" i="2"/>
  <c r="F28" i="2"/>
  <c r="E28" i="2"/>
  <c r="D28" i="2"/>
  <c r="G24" i="2"/>
  <c r="F24" i="2"/>
  <c r="E24" i="2"/>
  <c r="D24" i="2"/>
  <c r="G17" i="2"/>
  <c r="F17" i="2"/>
  <c r="E17" i="2"/>
  <c r="D17" i="2"/>
  <c r="G16" i="2"/>
  <c r="F16" i="2"/>
  <c r="E16" i="2"/>
  <c r="D16" i="2"/>
  <c r="G12" i="2"/>
  <c r="F12" i="2"/>
  <c r="E12" i="2"/>
  <c r="D12" i="2"/>
  <c r="G8" i="2"/>
  <c r="F8" i="2"/>
  <c r="E8" i="2"/>
  <c r="D8" i="2"/>
  <c r="G6" i="2"/>
  <c r="F6" i="2"/>
  <c r="E6" i="2"/>
  <c r="D6" i="2"/>
  <c r="G20" i="2"/>
  <c r="G23" i="2"/>
  <c r="G27" i="2"/>
  <c r="G5" i="2"/>
  <c r="G7" i="2"/>
  <c r="G15" i="2"/>
  <c r="G29" i="2"/>
  <c r="G13" i="2"/>
  <c r="G11" i="2"/>
  <c r="G10" i="2"/>
  <c r="G19" i="2"/>
  <c r="F15" i="2"/>
  <c r="F29" i="2"/>
  <c r="F13" i="2"/>
  <c r="F7" i="2"/>
  <c r="F5" i="2"/>
  <c r="F31" i="2"/>
  <c r="F27" i="2"/>
  <c r="F26" i="2"/>
  <c r="F23" i="2"/>
  <c r="F22" i="2"/>
  <c r="F20" i="2"/>
  <c r="F19" i="2"/>
  <c r="F11" i="2"/>
  <c r="F10" i="2"/>
  <c r="E15" i="2"/>
  <c r="E29" i="2"/>
  <c r="E13" i="2"/>
  <c r="E7" i="2"/>
  <c r="E5" i="2"/>
  <c r="E31" i="2"/>
  <c r="E27" i="2"/>
  <c r="E26" i="2"/>
  <c r="E23" i="2"/>
  <c r="E22" i="2"/>
  <c r="E20" i="2"/>
  <c r="E19" i="2"/>
  <c r="E11" i="2"/>
  <c r="E10" i="2"/>
  <c r="D20" i="2"/>
  <c r="D23" i="2"/>
  <c r="D27" i="2"/>
  <c r="D29" i="2"/>
  <c r="D15" i="2"/>
  <c r="D11" i="2"/>
  <c r="D13" i="2"/>
  <c r="D7" i="2"/>
  <c r="D5" i="2"/>
  <c r="D31" i="2"/>
  <c r="D26" i="2"/>
  <c r="D22" i="2"/>
  <c r="D19" i="2"/>
  <c r="D10" i="2"/>
  <c r="G26" i="2"/>
  <c r="G31" i="2"/>
  <c r="G22" i="2"/>
  <c r="L10" i="2" l="1"/>
  <c r="E52" i="1"/>
  <c r="E55" i="1" s="1"/>
  <c r="M10" i="2"/>
  <c r="J10" i="2"/>
  <c r="B52" i="1"/>
  <c r="B55" i="1" s="1"/>
  <c r="K10" i="2"/>
  <c r="D52" i="1"/>
  <c r="D55" i="1" s="1"/>
  <c r="B29" i="1"/>
  <c r="E29" i="1" s="1"/>
  <c r="B28" i="1"/>
  <c r="E28" i="1" s="1"/>
  <c r="B27" i="1"/>
  <c r="E27" i="1" s="1"/>
  <c r="B26" i="1"/>
  <c r="E26" i="1" s="1"/>
  <c r="E60" i="1" l="1"/>
  <c r="E63" i="1" s="1"/>
  <c r="D60" i="1"/>
  <c r="D63" i="1" s="1"/>
  <c r="B60" i="1"/>
  <c r="B63" i="1" s="1"/>
  <c r="E30" i="1"/>
  <c r="E31" i="1" l="1"/>
  <c r="N5" i="2" l="1"/>
  <c r="N6" i="2"/>
  <c r="N7" i="2"/>
  <c r="N10" i="2" l="1"/>
  <c r="N9" i="2" s="1"/>
  <c r="C54" i="1" l="1"/>
  <c r="C55" i="1" s="1"/>
  <c r="F59" i="1"/>
  <c r="C62" i="1" l="1"/>
  <c r="C6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Brenna Grant</author>
  </authors>
  <commentList>
    <comment ref="A74" authorId="0" shapeId="0" xr:uid="{8586B115-606E-4ADB-A43B-8B5E96D7E882}">
      <text>
        <r>
          <rPr>
            <b/>
            <sz val="9"/>
            <color indexed="81"/>
            <rFont val="Tahoma"/>
            <family val="2"/>
          </rPr>
          <t>Brenna Grant:</t>
        </r>
        <r>
          <rPr>
            <sz val="9"/>
            <color indexed="81"/>
            <rFont val="Tahoma"/>
            <family val="2"/>
          </rPr>
          <t xml:space="preserve">
BCRC - this would be in the references.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Bryan Doig</author>
  </authors>
  <commentList>
    <comment ref="D3" authorId="0" shapeId="0" xr:uid="{F33B21CD-225D-4AB8-9EAB-69205A6C8AD2}">
      <text>
        <r>
          <rPr>
            <b/>
            <sz val="8"/>
            <color indexed="81"/>
            <rFont val="Tahoma"/>
            <family val="2"/>
          </rPr>
          <t xml:space="preserve">To convert Crude Protein % to lbs of Nitrogen
ex:  Hay  at 14% Crude Protein  (100% Dry Matter)
        2,204.6 lbs x 14% = 308.64 lbs Crude Protein
         308.64 lbs / 6.25 = 49.38 lbs Nitrogen
         6.25 is the conversion factor from Crude Protein to Nitrogen
Nitrogen Fixation – Annual Legumes
Legume crops fix a portion of their nitrogen requirement from the air.  Therefore, not all of the nitrogen removed in the crop was supplied by the soil.  When properly inoculated under average growing conditions, expected nitrogen fixation levels for annual legumes are:
Peas:  average 55%, range of 40-70%
Lentils:  average 60%, range of 40-75%
Desi chickpea:  average 55%, range of 40-62%
Kabuli:  average 45%, range of 35-65%
Bean:  35%, range of 22-58%
Fababean:  90%, range of 75-95%
Nitrogen Fixation – Alfalfa
Alfalfa stands up to five years of age may fix on average 82% (range 51-85%) nitrogen.  Stands older than five years may fix 50% or less nitrogen. 
</t>
        </r>
        <r>
          <rPr>
            <sz val="8"/>
            <color indexed="81"/>
            <rFont val="Tahoma"/>
            <family val="2"/>
          </rPr>
          <t xml:space="preserve">
</t>
        </r>
      </text>
    </comment>
    <comment ref="E3" authorId="0" shapeId="0" xr:uid="{29D2D3FD-E304-4B79-BB42-ADB495EF66BD}">
      <text>
        <r>
          <rPr>
            <b/>
            <sz val="8"/>
            <color indexed="81"/>
            <rFont val="Tahoma"/>
            <family val="2"/>
          </rPr>
          <t>To convert P to P</t>
        </r>
        <r>
          <rPr>
            <b/>
            <vertAlign val="subscript"/>
            <sz val="8"/>
            <color indexed="81"/>
            <rFont val="Tahoma"/>
            <family val="2"/>
          </rPr>
          <t>2</t>
        </r>
        <r>
          <rPr>
            <b/>
            <sz val="8"/>
            <color indexed="81"/>
            <rFont val="Tahoma"/>
            <family val="2"/>
          </rPr>
          <t>0</t>
        </r>
        <r>
          <rPr>
            <b/>
            <vertAlign val="subscript"/>
            <sz val="8"/>
            <color indexed="81"/>
            <rFont val="Tahoma"/>
            <family val="2"/>
          </rPr>
          <t>5</t>
        </r>
        <r>
          <rPr>
            <b/>
            <sz val="8"/>
            <color indexed="81"/>
            <rFont val="Tahoma"/>
            <family val="2"/>
          </rPr>
          <t xml:space="preserve">
Multiply by 2.29
To convert P</t>
        </r>
        <r>
          <rPr>
            <b/>
            <vertAlign val="subscript"/>
            <sz val="8"/>
            <color indexed="81"/>
            <rFont val="Tahoma"/>
            <family val="2"/>
          </rPr>
          <t>2</t>
        </r>
        <r>
          <rPr>
            <b/>
            <sz val="8"/>
            <color indexed="81"/>
            <rFont val="Tahoma"/>
            <family val="2"/>
          </rPr>
          <t>0</t>
        </r>
        <r>
          <rPr>
            <b/>
            <vertAlign val="subscript"/>
            <sz val="8"/>
            <color indexed="81"/>
            <rFont val="Tahoma"/>
            <family val="2"/>
          </rPr>
          <t>5</t>
        </r>
        <r>
          <rPr>
            <b/>
            <sz val="8"/>
            <color indexed="81"/>
            <rFont val="Tahoma"/>
            <family val="2"/>
          </rPr>
          <t xml:space="preserve"> to P
Multiply by 0.437
</t>
        </r>
      </text>
    </comment>
    <comment ref="F3" authorId="0" shapeId="0" xr:uid="{72453F60-81A9-4F62-8D70-90C557FFE488}">
      <text>
        <r>
          <rPr>
            <b/>
            <sz val="8"/>
            <color indexed="81"/>
            <rFont val="Tahoma"/>
            <family val="2"/>
          </rPr>
          <t>To convert K to K</t>
        </r>
        <r>
          <rPr>
            <b/>
            <vertAlign val="subscript"/>
            <sz val="8"/>
            <color indexed="81"/>
            <rFont val="Tahoma"/>
            <family val="2"/>
          </rPr>
          <t>2</t>
        </r>
        <r>
          <rPr>
            <b/>
            <sz val="8"/>
            <color indexed="81"/>
            <rFont val="Tahoma"/>
            <family val="2"/>
          </rPr>
          <t xml:space="preserve">0          To convert K20 to K
Multiply by 1.2                   Multiply by 0.833
Potassium levels in many Saskatchewan soils are adequate and currently do not respond to potassium fertilizer.  However, at some point, potassium levels will begin to be depleted and will need to be replenished. 
Coarse textured soils (sandy, gravelly) and Grey Wooded soils are most suseptible to potassium deficiency, and are most consistently responsive to potassium fertilization.
</t>
        </r>
      </text>
    </comment>
    <comment ref="G3" authorId="0" shapeId="0" xr:uid="{D13C368E-7287-4927-BDE6-5320A10C3D90}">
      <text>
        <r>
          <rPr>
            <b/>
            <sz val="8"/>
            <color indexed="81"/>
            <rFont val="Tahoma"/>
            <family val="2"/>
          </rPr>
          <t xml:space="preserve">Elemental Sulphur </t>
        </r>
        <r>
          <rPr>
            <sz val="8"/>
            <color indexed="81"/>
            <rFont val="Tahoma"/>
            <family val="2"/>
          </rPr>
          <t xml:space="preserve">
</t>
        </r>
      </text>
    </comment>
  </commentList>
</comments>
</file>

<file path=xl/sharedStrings.xml><?xml version="1.0" encoding="utf-8"?>
<sst xmlns="http://schemas.openxmlformats.org/spreadsheetml/2006/main" count="200" uniqueCount="126">
  <si>
    <t>Value of Crop for Livestock Feed</t>
  </si>
  <si>
    <t xml:space="preserve">This calculator can be used in two ways: 
(1) It can help determine the options for an annual crop that has been damaged due to drought/flood or has reduced yield that makes it potentially undesirable to combine. 
(2) For mixed operations with standing crop, it can help decide if swath grazing, baling as greenfeed or silaging the annual crop is a lower cost option than purchased hay. 
In this calculator, the nutrient value removed from the field and the value from remaining litter and manure is included.
The BCRC's Forage Cost of Production Calculator* is another tool that can be used together with this calculator to find the lowest cost homegrown feed option. </t>
  </si>
  <si>
    <r>
      <rPr>
        <b/>
        <u/>
        <sz val="11"/>
        <color theme="1"/>
        <rFont val="Calibri"/>
        <family val="2"/>
        <scheme val="minor"/>
      </rPr>
      <t>Instructions</t>
    </r>
    <r>
      <rPr>
        <sz val="11"/>
        <color theme="1"/>
        <rFont val="Calibri"/>
        <family val="2"/>
        <scheme val="minor"/>
      </rPr>
      <t xml:space="preserve">: 
Step 1: Select whether the value of manure from swath grazing should be included, your crop, the area of the field, the estimated grain yield, the estimated straw yield and grain price (include estimated discount if the crop has been damaged).
Step 2: Input the number of cows, yearling steers, yearling heifers and calves that would be grazing on this field </t>
    </r>
    <r>
      <rPr>
        <b/>
        <sz val="11"/>
        <color theme="1"/>
        <rFont val="Calibri"/>
        <family val="2"/>
        <scheme val="minor"/>
      </rPr>
      <t>if the field were swath grazed</t>
    </r>
    <r>
      <rPr>
        <sz val="11"/>
        <color theme="1"/>
        <rFont val="Calibri"/>
        <family val="2"/>
        <scheme val="minor"/>
      </rPr>
      <t>.
Step 3: Input the current value of N, P, K and S per lb. This puts a value on the manure. 
Step 4: Include machinery costs. Provincial custom rate ranges are included in Table 4a for reference.
The summary provides a cost estimate for each type of feed, as well as the nutrient value lost if the feed is removed from the field and manure value added to the field if swath grazed.</t>
    </r>
  </si>
  <si>
    <t>*Forage Cost of Production Calculator</t>
  </si>
  <si>
    <t>Enter information in the yellow highlighted cells</t>
  </si>
  <si>
    <t>Step 1. Select crop and field area</t>
  </si>
  <si>
    <t>Include value of manure returned to field?</t>
  </si>
  <si>
    <t>Yes</t>
  </si>
  <si>
    <t>Select crop</t>
  </si>
  <si>
    <t>Barley</t>
  </si>
  <si>
    <t>Enter the $/bu price to convert to $/tonne if needed.</t>
  </si>
  <si>
    <t>Total acres</t>
  </si>
  <si>
    <t>ac</t>
  </si>
  <si>
    <t>Conversion - $/bu to $/tonne</t>
  </si>
  <si>
    <t>Estimated grain yield</t>
  </si>
  <si>
    <t>bu/ac</t>
  </si>
  <si>
    <t>Grain price</t>
  </si>
  <si>
    <t>$/bu</t>
  </si>
  <si>
    <t>Estimated straw yield</t>
  </si>
  <si>
    <t>tonne/ac</t>
  </si>
  <si>
    <t>Conversion to bushel</t>
  </si>
  <si>
    <t>bu/tonne</t>
  </si>
  <si>
    <t>Crop price*</t>
  </si>
  <si>
    <t>$/tonne</t>
  </si>
  <si>
    <t>Price per tonne</t>
  </si>
  <si>
    <t>*If a crop has been damaged, input the reduced price here</t>
  </si>
  <si>
    <t>Step 2. Grazing on field (leave yellow cells blank if field is not grazed)</t>
  </si>
  <si>
    <t>Manure from Grazing</t>
  </si>
  <si>
    <t xml:space="preserve"> lbs per day</t>
  </si>
  <si>
    <t>days grazing</t>
  </si>
  <si>
    <t>herd size</t>
  </si>
  <si>
    <t>Manure produced</t>
  </si>
  <si>
    <t>Beef cow</t>
  </si>
  <si>
    <t>Steers</t>
  </si>
  <si>
    <t>Heifers</t>
  </si>
  <si>
    <t>Calves</t>
  </si>
  <si>
    <t>Lbs total</t>
  </si>
  <si>
    <t>Kgs total</t>
  </si>
  <si>
    <t>Step 3. Current Value of Nutrients</t>
  </si>
  <si>
    <t xml:space="preserve">Nutrients </t>
  </si>
  <si>
    <t>Price ($/lb)</t>
  </si>
  <si>
    <t>Nitrogen (N)</t>
  </si>
  <si>
    <t>Phosphorus (P)</t>
  </si>
  <si>
    <t>Potassium (K)</t>
  </si>
  <si>
    <t>Sulphur (S)</t>
  </si>
  <si>
    <t>Step 4. Machinery costs (see Table 4a or use your own)</t>
  </si>
  <si>
    <t>Table 4a. Estimated provincial custom rates</t>
  </si>
  <si>
    <t>Swathing</t>
  </si>
  <si>
    <t>$/ac</t>
  </si>
  <si>
    <t>AB (up to 2018)</t>
  </si>
  <si>
    <t>SK</t>
  </si>
  <si>
    <t>MB</t>
  </si>
  <si>
    <t>ON</t>
  </si>
  <si>
    <t>Combining</t>
  </si>
  <si>
    <t>$9-16/ac</t>
  </si>
  <si>
    <t>$12.10-14.65/ac</t>
  </si>
  <si>
    <t>$12-14/ac</t>
  </si>
  <si>
    <t>$22/ac</t>
  </si>
  <si>
    <t>Forage harvesting/silaging</t>
  </si>
  <si>
    <t>$30-45/ac</t>
  </si>
  <si>
    <t>$33.77-48.94/ac</t>
  </si>
  <si>
    <t>$31-44/ac</t>
  </si>
  <si>
    <t>$53-83/ac</t>
  </si>
  <si>
    <t>Baling &amp; Transportation</t>
  </si>
  <si>
    <t>$/bale</t>
  </si>
  <si>
    <t>$35-65/ac</t>
  </si>
  <si>
    <t>$33.88-93.52/ac</t>
  </si>
  <si>
    <t>$26-69/ac</t>
  </si>
  <si>
    <t>$125-333/ac</t>
  </si>
  <si>
    <t>Cost of purchasing hay or cost to produce hay</t>
  </si>
  <si>
    <t>$/ton</t>
  </si>
  <si>
    <t>$9-14/bale</t>
  </si>
  <si>
    <t>$9.47-17.02/bale</t>
  </si>
  <si>
    <t>$12-17/bale</t>
  </si>
  <si>
    <t>$10-14/bale</t>
  </si>
  <si>
    <t>This table provides a range of custom rates for selected provinces, that can be inputted in Step 4. Rates depend on equipment size and location.</t>
  </si>
  <si>
    <t>SUMMARY RESULTS ($/ac)</t>
  </si>
  <si>
    <t>Value of harvested crop</t>
  </si>
  <si>
    <t>Swath grazing cost</t>
  </si>
  <si>
    <t>Greenfeed/ Bale feeding cost</t>
  </si>
  <si>
    <t>Silage cost</t>
  </si>
  <si>
    <t>Value of crop or hay plus expenses</t>
  </si>
  <si>
    <t>Nutrient value removed from field</t>
  </si>
  <si>
    <t>Nutrient value of straw left over</t>
  </si>
  <si>
    <t>Nutrient value of manure added</t>
  </si>
  <si>
    <t>Total cost</t>
  </si>
  <si>
    <t>SUMMARY RESULTS ($/tonne)</t>
  </si>
  <si>
    <t>Cost of hay</t>
  </si>
  <si>
    <t>Custom Rates Resources</t>
  </si>
  <si>
    <t>Province</t>
  </si>
  <si>
    <t>Resource</t>
  </si>
  <si>
    <t>https://www.alberta.ca/custom-rates</t>
  </si>
  <si>
    <t>https://publications.saskatchewan.ca/#/products/76527</t>
  </si>
  <si>
    <t>https://www.gov.mb.ca/agriculture/farm-management/cost-production/pubs/calculator-farm-machinery-custom-and-rental-guide.pdf</t>
  </si>
  <si>
    <t>https://www.gov.mb.ca/agriculture/farm-management/cost-production/pubs/cop-forage-cereal-silage.pdf</t>
  </si>
  <si>
    <t>https://www.ontario.ca/files/2025-10/omafa-guide-to-custom-farmwork-and-short-term-equipment-rental-en-2025-10-14.pdf</t>
  </si>
  <si>
    <t>Average levels of forage nutrients (100% dry matter) 1 tonne = 2204.6 lbs</t>
  </si>
  <si>
    <t>Feed type</t>
  </si>
  <si>
    <t>lbs N</t>
  </si>
  <si>
    <r>
      <t>lbs P</t>
    </r>
    <r>
      <rPr>
        <b/>
        <vertAlign val="subscript"/>
        <sz val="9"/>
        <rFont val="Arial"/>
        <family val="2"/>
      </rPr>
      <t>2</t>
    </r>
    <r>
      <rPr>
        <b/>
        <sz val="9"/>
        <rFont val="Arial"/>
        <family val="2"/>
      </rPr>
      <t>O</t>
    </r>
    <r>
      <rPr>
        <b/>
        <vertAlign val="subscript"/>
        <sz val="9"/>
        <rFont val="Arial"/>
        <family val="2"/>
      </rPr>
      <t>5</t>
    </r>
    <r>
      <rPr>
        <b/>
        <sz val="9"/>
        <rFont val="Arial"/>
        <family val="2"/>
      </rPr>
      <t xml:space="preserve"> </t>
    </r>
  </si>
  <si>
    <r>
      <t>lbs K</t>
    </r>
    <r>
      <rPr>
        <b/>
        <vertAlign val="subscript"/>
        <sz val="9"/>
        <rFont val="Arial"/>
        <family val="2"/>
      </rPr>
      <t>2</t>
    </r>
    <r>
      <rPr>
        <b/>
        <sz val="9"/>
        <rFont val="Arial"/>
        <family val="2"/>
      </rPr>
      <t xml:space="preserve">O </t>
    </r>
  </si>
  <si>
    <t xml:space="preserve">lbs S </t>
  </si>
  <si>
    <t>per Tonne</t>
  </si>
  <si>
    <t>Grain</t>
  </si>
  <si>
    <t>Hay</t>
  </si>
  <si>
    <t>Silage</t>
  </si>
  <si>
    <t>Straw</t>
  </si>
  <si>
    <t>Manure (lbs)</t>
  </si>
  <si>
    <t>Nutrients in Manure</t>
  </si>
  <si>
    <t>Alfalfa</t>
  </si>
  <si>
    <t>6 g/kg</t>
  </si>
  <si>
    <t>7.89 g/kg</t>
  </si>
  <si>
    <t>Alfalfa-Grass</t>
  </si>
  <si>
    <t>38.45 g/kg</t>
  </si>
  <si>
    <t>Value ($/ac)</t>
  </si>
  <si>
    <t>Total value for the field</t>
  </si>
  <si>
    <t>Bromegrass</t>
  </si>
  <si>
    <t>Canola</t>
  </si>
  <si>
    <t>Corn</t>
  </si>
  <si>
    <t>Lentil</t>
  </si>
  <si>
    <t>Oat</t>
  </si>
  <si>
    <t>Pea</t>
  </si>
  <si>
    <t>Timothy</t>
  </si>
  <si>
    <t>Wheat</t>
  </si>
  <si>
    <t>* CowBytes© Feed Table ver 5.41</t>
  </si>
  <si>
    <t xml:space="preserve">  Alberta Agriculture and Rural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</si>
</sst>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Red]\-&quot;$&quot;#,##0.00"/>
    <numFmt numFmtId="165" formatCode="_-&quot;$&quot;* #,##0.00_-;\-&quot;$&quot;* #,##0.00_-;_-&quot;$&quot;* &quot;-&quot;??_-;_-@_-"/>
    <numFmt numFmtId="166" formatCode="_-* #,##0.00_-;\-* #,##0.00_-;_-* &quot;-&quot;??_-;_-@_-"/>
    <numFmt numFmtId="167" formatCode="_-* #,##0_-;\-* #,##0_-;_-* &quot;-&quot;??_-;_-@_-"/>
    <numFmt numFmtId="168" formatCode="_-* #,##0.0_-;\-* #,##0.0_-;_-* &quot;-&quot;??_-;_-@_-"/>
    <numFmt numFmtId="169" formatCode="#,##0.0_ ;\-#,##0.0\ "/>
  </numFmts>
  <fonts count="19">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9"/>
      <name val="Arial"/>
      <family val="2"/>
    </font>
    <font>
      <b/>
      <vertAlign val="subscript"/>
      <sz val="9"/>
      <name val="Arial"/>
      <family val="2"/>
    </font>
    <font>
      <b/>
      <sz val="10"/>
      <name val="Arial"/>
      <family val="2"/>
    </font>
    <font>
      <b/>
      <sz val="8"/>
      <color indexed="81"/>
      <name val="Tahoma"/>
      <family val="2"/>
    </font>
    <font>
      <sz val="8"/>
      <color indexed="81"/>
      <name val="Tahoma"/>
      <family val="2"/>
    </font>
    <font>
      <b/>
      <vertAlign val="subscript"/>
      <sz val="8"/>
      <color indexed="81"/>
      <name val="Tahoma"/>
      <family val="2"/>
    </font>
    <font>
      <sz val="8"/>
      <name val="Arial"/>
      <family val="2"/>
    </font>
    <font>
      <i/>
      <sz val="8"/>
      <color theme="1"/>
      <name val="Calibri"/>
      <family val="2"/>
      <scheme val="minor"/>
    </font>
    <font>
      <u/>
      <sz val="11"/>
      <color theme="10"/>
      <name val="Calibri"/>
      <family val="2"/>
      <scheme val="minor"/>
    </font>
    <font>
      <sz val="11"/>
      <name val="Calibri"/>
      <family val="2"/>
      <scheme val="minor"/>
    </font>
    <font>
      <b/>
      <sz val="20"/>
      <color theme="1"/>
      <name val="Calibri"/>
      <family val="2"/>
      <scheme val="minor"/>
    </font>
    <font>
      <i/>
      <sz val="11"/>
      <color theme="1"/>
      <name val="Calibri"/>
      <family val="2"/>
      <scheme val="minor"/>
    </font>
    <font>
      <sz val="9"/>
      <color indexed="81"/>
      <name val="Tahoma"/>
      <family val="2"/>
    </font>
    <font>
      <b/>
      <sz val="9"/>
      <color indexed="81"/>
      <name val="Tahoma"/>
      <family val="2"/>
    </font>
    <font>
      <b/>
      <u/>
      <sz val="11"/>
      <color theme="1"/>
      <name val="Calibri"/>
      <family val="2"/>
      <scheme val="minor"/>
    </font>
  </fonts>
  <fills count="4">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0" fontId="12" fillId="0" borderId="0" applyNumberFormat="0" applyFill="0" applyBorder="0" applyAlignment="0" applyProtection="0"/>
  </cellStyleXfs>
  <cellXfs count="61">
    <xf numFmtId="0" fontId="0" fillId="0" borderId="0" xfId="0"/>
    <xf numFmtId="0" fontId="0" fillId="0" borderId="1" xfId="0" applyBorder="1"/>
    <xf numFmtId="0" fontId="2" fillId="0" borderId="1" xfId="0" applyFont="1" applyBorder="1"/>
    <xf numFmtId="167" fontId="0" fillId="0" borderId="1" xfId="0" applyNumberFormat="1" applyBorder="1"/>
    <xf numFmtId="165" fontId="0" fillId="0" borderId="1" xfId="2" applyFont="1" applyBorder="1"/>
    <xf numFmtId="165" fontId="2" fillId="0" borderId="1" xfId="2" applyFont="1" applyBorder="1"/>
    <xf numFmtId="167" fontId="0" fillId="0" borderId="1" xfId="1" applyNumberFormat="1" applyFont="1" applyBorder="1"/>
    <xf numFmtId="0" fontId="4" fillId="3" borderId="3" xfId="0" applyFont="1" applyFill="1" applyBorder="1" applyAlignment="1">
      <alignment horizontal="center" vertical="center"/>
    </xf>
    <xf numFmtId="49" fontId="4" fillId="3" borderId="3" xfId="0" applyNumberFormat="1" applyFont="1" applyFill="1" applyBorder="1" applyAlignment="1">
      <alignment horizontal="center" vertical="center"/>
    </xf>
    <xf numFmtId="0" fontId="4" fillId="3" borderId="4" xfId="0" applyFont="1" applyFill="1" applyBorder="1" applyAlignment="1">
      <alignment horizontal="center" vertical="center"/>
    </xf>
    <xf numFmtId="49" fontId="4" fillId="3" borderId="4" xfId="0" applyNumberFormat="1" applyFont="1" applyFill="1" applyBorder="1" applyAlignment="1">
      <alignment horizontal="center" vertical="center"/>
    </xf>
    <xf numFmtId="0" fontId="6" fillId="0" borderId="1" xfId="0" applyFont="1" applyBorder="1" applyAlignment="1">
      <alignment vertical="center"/>
    </xf>
    <xf numFmtId="2" fontId="0" fillId="0" borderId="1" xfId="0" applyNumberFormat="1" applyBorder="1" applyAlignment="1" applyProtection="1">
      <alignment horizontal="center" vertical="center"/>
      <protection locked="0"/>
    </xf>
    <xf numFmtId="49" fontId="10" fillId="0" borderId="0" xfId="0" applyNumberFormat="1" applyFont="1"/>
    <xf numFmtId="0" fontId="10" fillId="0" borderId="0" xfId="0" applyFont="1"/>
    <xf numFmtId="165" fontId="0" fillId="2" borderId="1" xfId="2" applyFont="1" applyFill="1" applyBorder="1" applyProtection="1">
      <protection locked="0"/>
    </xf>
    <xf numFmtId="166" fontId="0" fillId="2" borderId="1" xfId="1" applyFont="1" applyFill="1" applyBorder="1" applyProtection="1">
      <protection locked="0"/>
    </xf>
    <xf numFmtId="0" fontId="11" fillId="0" borderId="0" xfId="0" applyFont="1"/>
    <xf numFmtId="167" fontId="0" fillId="2" borderId="1" xfId="1" applyNumberFormat="1" applyFont="1" applyFill="1" applyBorder="1" applyProtection="1">
      <protection locked="0"/>
    </xf>
    <xf numFmtId="0" fontId="12" fillId="0" borderId="1" xfId="3" applyBorder="1"/>
    <xf numFmtId="168" fontId="0" fillId="2" borderId="1" xfId="1" applyNumberFormat="1" applyFont="1" applyFill="1" applyBorder="1" applyProtection="1">
      <protection locked="0"/>
    </xf>
    <xf numFmtId="166" fontId="0" fillId="0" borderId="1" xfId="1" applyFont="1" applyBorder="1"/>
    <xf numFmtId="168" fontId="0" fillId="0" borderId="1" xfId="1" applyNumberFormat="1" applyFont="1" applyBorder="1"/>
    <xf numFmtId="0" fontId="2" fillId="0" borderId="0" xfId="0" applyFont="1"/>
    <xf numFmtId="2" fontId="0" fillId="0" borderId="0" xfId="0" applyNumberFormat="1" applyAlignment="1" applyProtection="1">
      <alignment horizontal="center" vertical="center"/>
      <protection locked="0"/>
    </xf>
    <xf numFmtId="165" fontId="2" fillId="0" borderId="0" xfId="2" applyFont="1" applyBorder="1"/>
    <xf numFmtId="0" fontId="2" fillId="0" borderId="0" xfId="0" applyFont="1" applyAlignment="1">
      <alignment horizontal="center" wrapText="1"/>
    </xf>
    <xf numFmtId="164" fontId="0" fillId="0" borderId="1" xfId="0" applyNumberFormat="1" applyBorder="1" applyAlignment="1">
      <alignment horizontal="center"/>
    </xf>
    <xf numFmtId="0" fontId="2" fillId="0" borderId="1" xfId="0" applyFont="1" applyBorder="1" applyAlignment="1">
      <alignment horizontal="center"/>
    </xf>
    <xf numFmtId="165" fontId="1" fillId="0" borderId="1" xfId="2" applyFont="1" applyBorder="1"/>
    <xf numFmtId="0" fontId="0" fillId="0" borderId="1" xfId="0" applyBorder="1" applyAlignment="1">
      <alignment horizontal="center"/>
    </xf>
    <xf numFmtId="0" fontId="14" fillId="0" borderId="0" xfId="0" applyFont="1"/>
    <xf numFmtId="0" fontId="15" fillId="0" borderId="0" xfId="0" applyFont="1" applyAlignment="1">
      <alignment wrapText="1"/>
    </xf>
    <xf numFmtId="0" fontId="0" fillId="0" borderId="1" xfId="0" applyBorder="1" applyAlignment="1">
      <alignment wrapText="1"/>
    </xf>
    <xf numFmtId="165" fontId="0" fillId="2" borderId="1" xfId="2" applyFont="1" applyFill="1" applyBorder="1" applyAlignment="1" applyProtection="1">
      <alignment horizontal="right"/>
      <protection locked="0"/>
    </xf>
    <xf numFmtId="165" fontId="0" fillId="2" borderId="1" xfId="2" applyFont="1" applyFill="1" applyBorder="1" applyAlignment="1" applyProtection="1">
      <alignment vertical="center"/>
      <protection locked="0"/>
    </xf>
    <xf numFmtId="0" fontId="0" fillId="0" borderId="1" xfId="0" applyBorder="1" applyAlignment="1">
      <alignment vertical="center"/>
    </xf>
    <xf numFmtId="164" fontId="0" fillId="0" borderId="1" xfId="0" applyNumberFormat="1" applyBorder="1" applyAlignment="1">
      <alignment horizontal="center" vertical="center"/>
    </xf>
    <xf numFmtId="169" fontId="0" fillId="2" borderId="1" xfId="1" applyNumberFormat="1" applyFont="1" applyFill="1" applyBorder="1" applyProtection="1">
      <protection locked="0"/>
    </xf>
    <xf numFmtId="0" fontId="13" fillId="2" borderId="1" xfId="0" applyFont="1" applyFill="1" applyBorder="1" applyAlignment="1" applyProtection="1">
      <alignment horizontal="right" vertical="center"/>
      <protection locked="0"/>
    </xf>
    <xf numFmtId="0" fontId="0" fillId="0" borderId="0" xfId="0" applyAlignment="1">
      <alignment wrapText="1"/>
    </xf>
    <xf numFmtId="167" fontId="0" fillId="2" borderId="1" xfId="1" applyNumberFormat="1" applyFont="1" applyFill="1" applyBorder="1" applyAlignment="1" applyProtection="1">
      <alignment horizontal="right" vertical="center"/>
      <protection locked="0"/>
    </xf>
    <xf numFmtId="0" fontId="3" fillId="3" borderId="5" xfId="0" applyFont="1" applyFill="1" applyBorder="1"/>
    <xf numFmtId="0" fontId="0" fillId="0" borderId="1" xfId="0" applyBorder="1" applyAlignment="1">
      <alignment horizontal="center" wrapText="1"/>
    </xf>
    <xf numFmtId="0" fontId="3" fillId="0" borderId="0" xfId="0" applyFont="1"/>
    <xf numFmtId="166" fontId="0" fillId="0" borderId="1" xfId="1" applyFont="1" applyBorder="1" applyProtection="1"/>
    <xf numFmtId="0" fontId="0" fillId="0" borderId="3" xfId="0" applyBorder="1" applyAlignment="1">
      <alignment horizontal="center" vertical="center"/>
    </xf>
    <xf numFmtId="0" fontId="0" fillId="0" borderId="4" xfId="0" applyBorder="1" applyAlignment="1">
      <alignment horizontal="center" vertical="center"/>
    </xf>
    <xf numFmtId="0" fontId="3" fillId="3" borderId="5" xfId="0" applyFont="1" applyFill="1" applyBorder="1" applyAlignment="1">
      <alignment horizontal="center"/>
    </xf>
    <xf numFmtId="0" fontId="3" fillId="3" borderId="7" xfId="0" applyFont="1" applyFill="1" applyBorder="1" applyAlignment="1">
      <alignment horizontal="center"/>
    </xf>
    <xf numFmtId="0" fontId="3" fillId="3" borderId="6" xfId="0" applyFont="1" applyFill="1" applyBorder="1" applyAlignment="1">
      <alignment horizontal="center"/>
    </xf>
    <xf numFmtId="0" fontId="3" fillId="3" borderId="1" xfId="0" applyFont="1" applyFill="1" applyBorder="1" applyAlignment="1">
      <alignment horizontal="center"/>
    </xf>
    <xf numFmtId="0" fontId="0" fillId="0" borderId="0" xfId="0" applyAlignment="1">
      <alignment horizontal="left"/>
    </xf>
    <xf numFmtId="0" fontId="0" fillId="0" borderId="2" xfId="0" applyBorder="1" applyAlignment="1">
      <alignment horizontal="left" wrapText="1"/>
    </xf>
    <xf numFmtId="0" fontId="0" fillId="0" borderId="0" xfId="0" applyAlignment="1">
      <alignment horizontal="left" vertical="top" wrapText="1"/>
    </xf>
    <xf numFmtId="0" fontId="12" fillId="0" borderId="0" xfId="3" applyAlignment="1">
      <alignment horizontal="left"/>
    </xf>
    <xf numFmtId="0" fontId="15" fillId="0" borderId="8" xfId="0" applyFont="1" applyBorder="1" applyAlignment="1">
      <alignment horizontal="left" wrapText="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2" fillId="0" borderId="2" xfId="0" applyFont="1" applyBorder="1" applyAlignment="1">
      <alignment horizontal="center"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mruColors>
      <color rgb="FF41583A"/>
      <color rgb="FFB3BDCD"/>
      <color rgb="FF5B6C88"/>
      <color rgb="FFA0BB9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Summary Results ($/acre)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Calculator!$A$51</c:f>
              <c:strCache>
                <c:ptCount val="1"/>
                <c:pt idx="0">
                  <c:v>Value of crop or hay plus expenses</c:v>
                </c:pt>
              </c:strCache>
            </c:strRef>
          </c:tx>
          <c:spPr>
            <a:solidFill>
              <a:schemeClr val="accent1"/>
            </a:solidFill>
            <a:ln>
              <a:noFill/>
            </a:ln>
            <a:effectLst/>
          </c:spPr>
          <c:invertIfNegative val="0"/>
          <c:cat>
            <c:strRef>
              <c:f>Calculator!$B$50:$E$50</c:f>
              <c:strCache>
                <c:ptCount val="4"/>
                <c:pt idx="0">
                  <c:v>Value of harvested crop</c:v>
                </c:pt>
                <c:pt idx="1">
                  <c:v>Swath grazing cost</c:v>
                </c:pt>
                <c:pt idx="2">
                  <c:v>Greenfeed/ Bale feeding cost</c:v>
                </c:pt>
                <c:pt idx="3">
                  <c:v>Silage cost</c:v>
                </c:pt>
              </c:strCache>
            </c:strRef>
          </c:cat>
          <c:val>
            <c:numRef>
              <c:f>Calculator!$B$51:$E$51</c:f>
              <c:numCache>
                <c:formatCode>_-"$"* #,##0.00_-;\-"$"* #,##0.00_-;_-"$"* "-"??_-;_-@_-</c:formatCode>
                <c:ptCount val="4"/>
                <c:pt idx="0">
                  <c:v>323.81878510777273</c:v>
                </c:pt>
                <c:pt idx="1">
                  <c:v>295.83878510777271</c:v>
                </c:pt>
                <c:pt idx="2">
                  <c:v>312.85878510777269</c:v>
                </c:pt>
                <c:pt idx="3">
                  <c:v>346.1587851077727</c:v>
                </c:pt>
              </c:numCache>
            </c:numRef>
          </c:val>
          <c:extLst>
            <c:ext xmlns:c16="http://schemas.microsoft.com/office/drawing/2014/chart" uri="{C3380CC4-5D6E-409C-BE32-E72D297353CC}">
              <c16:uniqueId val="{00000000-B2EB-4A6F-AEC9-7FD6F75A0EDE}"/>
            </c:ext>
          </c:extLst>
        </c:ser>
        <c:ser>
          <c:idx val="1"/>
          <c:order val="1"/>
          <c:tx>
            <c:strRef>
              <c:f>Calculator!$A$52</c:f>
              <c:strCache>
                <c:ptCount val="1"/>
                <c:pt idx="0">
                  <c:v>Nutrient value removed from field</c:v>
                </c:pt>
              </c:strCache>
            </c:strRef>
          </c:tx>
          <c:spPr>
            <a:solidFill>
              <a:schemeClr val="accent2"/>
            </a:solidFill>
            <a:ln>
              <a:noFill/>
            </a:ln>
            <a:effectLst/>
          </c:spPr>
          <c:invertIfNegative val="0"/>
          <c:cat>
            <c:strRef>
              <c:f>Calculator!$B$50:$E$50</c:f>
              <c:strCache>
                <c:ptCount val="4"/>
                <c:pt idx="0">
                  <c:v>Value of harvested crop</c:v>
                </c:pt>
                <c:pt idx="1">
                  <c:v>Swath grazing cost</c:v>
                </c:pt>
                <c:pt idx="2">
                  <c:v>Greenfeed/ Bale feeding cost</c:v>
                </c:pt>
                <c:pt idx="3">
                  <c:v>Silage cost</c:v>
                </c:pt>
              </c:strCache>
            </c:strRef>
          </c:cat>
          <c:val>
            <c:numRef>
              <c:f>Calculator!$B$52:$E$52</c:f>
              <c:numCache>
                <c:formatCode>_-"$"* #,##0.00_-;\-"$"* #,##0.00_-;_-"$"* "-"??_-;_-@_-</c:formatCode>
                <c:ptCount val="4"/>
                <c:pt idx="0">
                  <c:v>64.070859999999996</c:v>
                </c:pt>
                <c:pt idx="1">
                  <c:v>0</c:v>
                </c:pt>
                <c:pt idx="2">
                  <c:v>80.784727475199986</c:v>
                </c:pt>
                <c:pt idx="3">
                  <c:v>76.107844943199993</c:v>
                </c:pt>
              </c:numCache>
            </c:numRef>
          </c:val>
          <c:extLst>
            <c:ext xmlns:c16="http://schemas.microsoft.com/office/drawing/2014/chart" uri="{C3380CC4-5D6E-409C-BE32-E72D297353CC}">
              <c16:uniqueId val="{00000001-B2EB-4A6F-AEC9-7FD6F75A0EDE}"/>
            </c:ext>
          </c:extLst>
        </c:ser>
        <c:ser>
          <c:idx val="2"/>
          <c:order val="2"/>
          <c:tx>
            <c:strRef>
              <c:f>Calculator!$A$53</c:f>
              <c:strCache>
                <c:ptCount val="1"/>
                <c:pt idx="0">
                  <c:v>Nutrient value of straw left over</c:v>
                </c:pt>
              </c:strCache>
            </c:strRef>
          </c:tx>
          <c:spPr>
            <a:solidFill>
              <a:schemeClr val="accent3"/>
            </a:solidFill>
            <a:ln>
              <a:noFill/>
            </a:ln>
            <a:effectLst/>
          </c:spPr>
          <c:invertIfNegative val="0"/>
          <c:cat>
            <c:strRef>
              <c:f>Calculator!$B$50:$E$50</c:f>
              <c:strCache>
                <c:ptCount val="4"/>
                <c:pt idx="0">
                  <c:v>Value of harvested crop</c:v>
                </c:pt>
                <c:pt idx="1">
                  <c:v>Swath grazing cost</c:v>
                </c:pt>
                <c:pt idx="2">
                  <c:v>Greenfeed/ Bale feeding cost</c:v>
                </c:pt>
                <c:pt idx="3">
                  <c:v>Silage cost</c:v>
                </c:pt>
              </c:strCache>
            </c:strRef>
          </c:cat>
          <c:val>
            <c:numRef>
              <c:f>Calculator!$B$53:$E$53</c:f>
              <c:numCache>
                <c:formatCode>_-"$"* #,##0.00_-;\-"$"* #,##0.00_-;_-"$"* "-"??_-;_-@_-</c:formatCode>
                <c:ptCount val="4"/>
                <c:pt idx="0">
                  <c:v>-43.102504972799998</c:v>
                </c:pt>
                <c:pt idx="1">
                  <c:v>0</c:v>
                </c:pt>
                <c:pt idx="2">
                  <c:v>0</c:v>
                </c:pt>
                <c:pt idx="3">
                  <c:v>0</c:v>
                </c:pt>
              </c:numCache>
            </c:numRef>
          </c:val>
          <c:extLst>
            <c:ext xmlns:c16="http://schemas.microsoft.com/office/drawing/2014/chart" uri="{C3380CC4-5D6E-409C-BE32-E72D297353CC}">
              <c16:uniqueId val="{00000002-B2EB-4A6F-AEC9-7FD6F75A0EDE}"/>
            </c:ext>
          </c:extLst>
        </c:ser>
        <c:ser>
          <c:idx val="3"/>
          <c:order val="3"/>
          <c:tx>
            <c:strRef>
              <c:f>Calculator!$A$54</c:f>
              <c:strCache>
                <c:ptCount val="1"/>
                <c:pt idx="0">
                  <c:v>Nutrient value of manure added</c:v>
                </c:pt>
              </c:strCache>
            </c:strRef>
          </c:tx>
          <c:spPr>
            <a:solidFill>
              <a:schemeClr val="accent4"/>
            </a:solidFill>
            <a:ln>
              <a:noFill/>
            </a:ln>
            <a:effectLst/>
          </c:spPr>
          <c:invertIfNegative val="0"/>
          <c:cat>
            <c:strRef>
              <c:f>Calculator!$B$50:$E$50</c:f>
              <c:strCache>
                <c:ptCount val="4"/>
                <c:pt idx="0">
                  <c:v>Value of harvested crop</c:v>
                </c:pt>
                <c:pt idx="1">
                  <c:v>Swath grazing cost</c:v>
                </c:pt>
                <c:pt idx="2">
                  <c:v>Greenfeed/ Bale feeding cost</c:v>
                </c:pt>
                <c:pt idx="3">
                  <c:v>Silage cost</c:v>
                </c:pt>
              </c:strCache>
            </c:strRef>
          </c:cat>
          <c:val>
            <c:numRef>
              <c:f>Calculator!$B$54:$E$54</c:f>
              <c:numCache>
                <c:formatCode>_-"$"* #,##0.00_-;\-"$"* #,##0.00_-;_-"$"* "-"??_-;_-@_-</c:formatCode>
                <c:ptCount val="4"/>
                <c:pt idx="0">
                  <c:v>0</c:v>
                </c:pt>
                <c:pt idx="1">
                  <c:v>-290.59294948712005</c:v>
                </c:pt>
                <c:pt idx="2">
                  <c:v>0</c:v>
                </c:pt>
                <c:pt idx="3">
                  <c:v>0</c:v>
                </c:pt>
              </c:numCache>
            </c:numRef>
          </c:val>
          <c:extLst>
            <c:ext xmlns:c16="http://schemas.microsoft.com/office/drawing/2014/chart" uri="{C3380CC4-5D6E-409C-BE32-E72D297353CC}">
              <c16:uniqueId val="{00000003-B2EB-4A6F-AEC9-7FD6F75A0EDE}"/>
            </c:ext>
          </c:extLst>
        </c:ser>
        <c:dLbls>
          <c:showLegendKey val="0"/>
          <c:showVal val="0"/>
          <c:showCatName val="0"/>
          <c:showSerName val="0"/>
          <c:showPercent val="0"/>
          <c:showBubbleSize val="0"/>
        </c:dLbls>
        <c:gapWidth val="100"/>
        <c:overlap val="100"/>
        <c:axId val="1161721727"/>
        <c:axId val="1161724607"/>
      </c:barChart>
      <c:lineChart>
        <c:grouping val="standard"/>
        <c:varyColors val="0"/>
        <c:ser>
          <c:idx val="4"/>
          <c:order val="4"/>
          <c:tx>
            <c:strRef>
              <c:f>Calculator!$A$55</c:f>
              <c:strCache>
                <c:ptCount val="1"/>
                <c:pt idx="0">
                  <c:v>Total cost</c:v>
                </c:pt>
              </c:strCache>
              <c:extLst xmlns:c15="http://schemas.microsoft.com/office/drawing/2012/chart"/>
            </c:strRef>
          </c:tx>
          <c:spPr>
            <a:ln w="28575" cap="rnd">
              <a:noFill/>
              <a:round/>
            </a:ln>
            <a:effectLst/>
          </c:spPr>
          <c:marker>
            <c:symbol val="diamond"/>
            <c:size val="10"/>
            <c:spPr>
              <a:solidFill>
                <a:srgbClr val="FFFF00"/>
              </a:solidFill>
              <a:ln w="12700">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Calculator!$B$50:$E$50</c:f>
              <c:strCache>
                <c:ptCount val="4"/>
                <c:pt idx="0">
                  <c:v>Value of harvested crop</c:v>
                </c:pt>
                <c:pt idx="1">
                  <c:v>Swath grazing cost</c:v>
                </c:pt>
                <c:pt idx="2">
                  <c:v>Greenfeed/ Bale feeding cost</c:v>
                </c:pt>
                <c:pt idx="3">
                  <c:v>Silage cost</c:v>
                </c:pt>
              </c:strCache>
              <c:extLst xmlns:c15="http://schemas.microsoft.com/office/drawing/2012/chart"/>
            </c:strRef>
          </c:cat>
          <c:val>
            <c:numRef>
              <c:f>Calculator!$B$55:$E$55</c:f>
              <c:numCache>
                <c:formatCode>_-"$"* #,##0.00_-;\-"$"* #,##0.00_-;_-"$"* "-"??_-;_-@_-</c:formatCode>
                <c:ptCount val="4"/>
                <c:pt idx="0">
                  <c:v>344.78714013497273</c:v>
                </c:pt>
                <c:pt idx="1">
                  <c:v>5.245835620652656</c:v>
                </c:pt>
                <c:pt idx="2">
                  <c:v>393.64351258297268</c:v>
                </c:pt>
                <c:pt idx="3">
                  <c:v>422.26663005097271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4-B2EB-4A6F-AEC9-7FD6F75A0EDE}"/>
            </c:ext>
          </c:extLst>
        </c:ser>
        <c:dLbls>
          <c:showLegendKey val="0"/>
          <c:showVal val="0"/>
          <c:showCatName val="0"/>
          <c:showSerName val="0"/>
          <c:showPercent val="0"/>
          <c:showBubbleSize val="0"/>
        </c:dLbls>
        <c:marker val="1"/>
        <c:smooth val="0"/>
        <c:axId val="1161721727"/>
        <c:axId val="1161724607"/>
      </c:lineChart>
      <c:catAx>
        <c:axId val="1161721727"/>
        <c:scaling>
          <c:orientation val="minMax"/>
        </c:scaling>
        <c:delete val="0"/>
        <c:axPos val="b"/>
        <c:numFmt formatCode="General" sourceLinked="1"/>
        <c:majorTickMark val="none"/>
        <c:minorTickMark val="none"/>
        <c:tickLblPos val="low"/>
        <c:spPr>
          <a:noFill/>
          <a:ln w="9525" cap="flat" cmpd="sng" algn="ctr">
            <a:solidFill>
              <a:srgbClr val="FF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1724607"/>
        <c:crosses val="autoZero"/>
        <c:auto val="1"/>
        <c:lblAlgn val="ctr"/>
        <c:lblOffset val="100"/>
        <c:noMultiLvlLbl val="0"/>
      </c:catAx>
      <c:valAx>
        <c:axId val="11617246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$/acre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1721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Summary Results ($/tonne)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Calculator!$A$63</c:f>
              <c:strCache>
                <c:ptCount val="1"/>
                <c:pt idx="0">
                  <c:v>Total cost</c:v>
                </c:pt>
              </c:strCache>
            </c:strRef>
          </c:tx>
          <c:spPr>
            <a:noFill/>
            <a:ln w="38100">
              <a:solidFill>
                <a:srgbClr val="41583A"/>
              </a:solid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Calculator!$B$58:$F$58</c:f>
              <c:strCache>
                <c:ptCount val="5"/>
                <c:pt idx="0">
                  <c:v>Value of harvested crop</c:v>
                </c:pt>
                <c:pt idx="1">
                  <c:v>Swath grazing cost</c:v>
                </c:pt>
                <c:pt idx="2">
                  <c:v>Greenfeed/ Bale feeding cost</c:v>
                </c:pt>
                <c:pt idx="3">
                  <c:v>Silage cost</c:v>
                </c:pt>
                <c:pt idx="4">
                  <c:v>Cost of hay</c:v>
                </c:pt>
              </c:strCache>
            </c:strRef>
          </c:cat>
          <c:val>
            <c:numRef>
              <c:f>Calculator!$B$63:$F$63</c:f>
              <c:numCache>
                <c:formatCode>_-"$"* #,##0.00_-;\-"$"* #,##0.00_-;_-"$"* "-"??_-;_-@_-</c:formatCode>
                <c:ptCount val="5"/>
                <c:pt idx="0">
                  <c:v>196.23387046343615</c:v>
                </c:pt>
                <c:pt idx="1">
                  <c:v>2.9856410168101206</c:v>
                </c:pt>
                <c:pt idx="2">
                  <c:v>224.04022965224203</c:v>
                </c:pt>
                <c:pt idx="3">
                  <c:v>240.33093331153873</c:v>
                </c:pt>
                <c:pt idx="4">
                  <c:v>235.8681</c:v>
                </c:pt>
              </c:numCache>
            </c:numRef>
          </c:val>
          <c:extLst>
            <c:ext xmlns:c16="http://schemas.microsoft.com/office/drawing/2014/chart" uri="{C3380CC4-5D6E-409C-BE32-E72D297353CC}">
              <c16:uniqueId val="{00000000-C2F5-4DD3-9BC5-7BC15B1030B4}"/>
            </c:ext>
          </c:extLst>
        </c:ser>
        <c:dLbls>
          <c:showLegendKey val="0"/>
          <c:showVal val="0"/>
          <c:showCatName val="0"/>
          <c:showSerName val="0"/>
          <c:showPercent val="0"/>
          <c:showBubbleSize val="0"/>
        </c:dLbls>
        <c:gapWidth val="100"/>
        <c:overlap val="100"/>
        <c:axId val="1161721727"/>
        <c:axId val="1161724607"/>
        <c:extLst/>
      </c:barChart>
      <c:catAx>
        <c:axId val="116172172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1724607"/>
        <c:crosses val="autoZero"/>
        <c:auto val="1"/>
        <c:lblAlgn val="ctr"/>
        <c:lblOffset val="100"/>
        <c:noMultiLvlLbl val="0"/>
      </c:catAx>
      <c:valAx>
        <c:axId val="11617246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$/tonne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1721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1</xdr:row>
      <xdr:rowOff>0</xdr:rowOff>
    </xdr:from>
    <xdr:to>
      <xdr:col>1</xdr:col>
      <xdr:colOff>418284</xdr:colOff>
      <xdr:row>5</xdr:row>
      <xdr:rowOff>135502</xdr:rowOff>
    </xdr:to>
    <xdr:pic>
      <xdr:nvPicPr>
        <xdr:cNvPr id="2" name="Picture 4">
          <a:extLst>
            <a:ext uri="{FF2B5EF4-FFF2-40B4-BE49-F238E27FC236}">
              <a16:creationId xmlns:a16="http://schemas.microsoft.com/office/drawing/2014/main" id="{3AF73B2E-B261-4520-83A2-BA431F19B1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82880"/>
          <a:ext cx="2394585" cy="857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3</xdr:col>
      <xdr:colOff>0</xdr:colOff>
      <xdr:row>20</xdr:row>
      <xdr:rowOff>91440</xdr:rowOff>
    </xdr:from>
    <xdr:to>
      <xdr:col>4</xdr:col>
      <xdr:colOff>0</xdr:colOff>
      <xdr:row>20</xdr:row>
      <xdr:rowOff>91440</xdr:rowOff>
    </xdr:to>
    <xdr:cxnSp macro="">
      <xdr:nvCxnSpPr>
        <xdr:cNvPr id="5" name="Straight Arrow Connector 4">
          <a:extLst>
            <a:ext uri="{FF2B5EF4-FFF2-40B4-BE49-F238E27FC236}">
              <a16:creationId xmlns:a16="http://schemas.microsoft.com/office/drawing/2014/main" id="{806FBD31-3E45-14CC-EFE5-6092FB76A4C6}"/>
            </a:ext>
          </a:extLst>
        </xdr:cNvPr>
        <xdr:cNvCxnSpPr/>
      </xdr:nvCxnSpPr>
      <xdr:spPr>
        <a:xfrm flipH="1">
          <a:off x="3040380" y="4846320"/>
          <a:ext cx="807720" cy="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343354</xdr:colOff>
      <xdr:row>64</xdr:row>
      <xdr:rowOff>68035</xdr:rowOff>
    </xdr:from>
    <xdr:to>
      <xdr:col>4</xdr:col>
      <xdr:colOff>381710</xdr:colOff>
      <xdr:row>91</xdr:row>
      <xdr:rowOff>0</xdr:rowOff>
    </xdr:to>
    <xdr:graphicFrame macro="">
      <xdr:nvGraphicFramePr>
        <xdr:cNvPr id="3" name="Chart 2">
          <a:extLst>
            <a:ext uri="{FF2B5EF4-FFF2-40B4-BE49-F238E27FC236}">
              <a16:creationId xmlns:a16="http://schemas.microsoft.com/office/drawing/2014/main" id="{01A9A0EC-3A6A-423F-A4AA-1A88BA66F2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555171</xdr:colOff>
      <xdr:row>64</xdr:row>
      <xdr:rowOff>84365</xdr:rowOff>
    </xdr:from>
    <xdr:to>
      <xdr:col>8</xdr:col>
      <xdr:colOff>640060</xdr:colOff>
      <xdr:row>91</xdr:row>
      <xdr:rowOff>17186</xdr:rowOff>
    </xdr:to>
    <xdr:graphicFrame macro="">
      <xdr:nvGraphicFramePr>
        <xdr:cNvPr id="4" name="Chart 3">
          <a:extLst>
            <a:ext uri="{FF2B5EF4-FFF2-40B4-BE49-F238E27FC236}">
              <a16:creationId xmlns:a16="http://schemas.microsoft.com/office/drawing/2014/main" id="{699CF9D4-1E66-40B7-A0E1-37C3A4B861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publications.saskatchewan.ca/" TargetMode="External"/><Relationship Id="rId7" Type="http://schemas.openxmlformats.org/officeDocument/2006/relationships/printerSettings" Target="../printerSettings/printerSettings1.bin"/><Relationship Id="rId2" Type="http://schemas.openxmlformats.org/officeDocument/2006/relationships/hyperlink" Target="https://www.alberta.ca/custom-rates" TargetMode="External"/><Relationship Id="rId1" Type="http://schemas.openxmlformats.org/officeDocument/2006/relationships/hyperlink" Target="https://www.gov.mb.ca/agriculture/farm-management/cost-production/pubs/calculator-farm-machinery-custom-and-rental-guide.pdf" TargetMode="External"/><Relationship Id="rId6" Type="http://schemas.openxmlformats.org/officeDocument/2006/relationships/hyperlink" Target="https://www.beefresearch.ca/tools/forage-cost-of-production-calculator/" TargetMode="External"/><Relationship Id="rId5" Type="http://schemas.openxmlformats.org/officeDocument/2006/relationships/hyperlink" Target="https://www.gov.mb.ca/agriculture/farm-management/cost-production/pubs/cop-forage-cereal-silage.pdf" TargetMode="External"/><Relationship Id="rId10" Type="http://schemas.openxmlformats.org/officeDocument/2006/relationships/comments" Target="../comments1.xml"/><Relationship Id="rId4" Type="http://schemas.openxmlformats.org/officeDocument/2006/relationships/hyperlink" Target="https://www.ontario.ca/files/2025-10/omafa-guide-to-custom-farmwork-and-short-term-equipment-rental-en-2025-10-14.pdf"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347C-6EFE-4BF2-B2A5-C1589AF500E8}">
  <sheetPr>
    <pageSetUpPr autoPageBreaks="0"/>
  </sheetPr>
  <dimension ref="A1:J80"/>
  <sheetViews>
    <sheetView tabSelected="1" topLeftCell="A6" zoomScaleNormal="100" zoomScaleSheetLayoutView="100" workbookViewId="0">
      <selection activeCell="J12" sqref="J12"/>
    </sheetView>
  </sheetViews>
  <sheetFormatPr defaultColWidth="22.140625" defaultRowHeight="14.45" customHeight="1"/>
  <cols>
    <col min="1" max="1" width="30.28515625" customWidth="1"/>
    <col min="2" max="2" width="12.42578125" customWidth="1"/>
    <col min="3" max="3" width="12.7109375" customWidth="1"/>
    <col min="4" max="4" width="11.7109375" bestFit="1" customWidth="1"/>
    <col min="5" max="5" width="24.42578125" customWidth="1"/>
    <col min="6" max="6" width="13.5703125" bestFit="1" customWidth="1"/>
    <col min="7" max="7" width="17.42578125" customWidth="1"/>
    <col min="8" max="8" width="10.85546875" bestFit="1" customWidth="1"/>
    <col min="9" max="9" width="11.28515625" bestFit="1" customWidth="1"/>
  </cols>
  <sheetData>
    <row r="1" spans="1:9" ht="26.1">
      <c r="A1" s="31" t="s">
        <v>0</v>
      </c>
    </row>
    <row r="2" spans="1:9" ht="14.45" customHeight="1">
      <c r="C2" s="54" t="s">
        <v>1</v>
      </c>
      <c r="D2" s="54"/>
      <c r="E2" s="54"/>
      <c r="F2" s="54"/>
      <c r="G2" s="54"/>
      <c r="H2" s="54"/>
      <c r="I2" s="54"/>
    </row>
    <row r="3" spans="1:9" ht="14.45" customHeight="1">
      <c r="C3" s="54"/>
      <c r="D3" s="54"/>
      <c r="E3" s="54"/>
      <c r="F3" s="54"/>
      <c r="G3" s="54"/>
      <c r="H3" s="54"/>
      <c r="I3" s="54"/>
    </row>
    <row r="4" spans="1:9" ht="14.45" customHeight="1">
      <c r="C4" s="54"/>
      <c r="D4" s="54"/>
      <c r="E4" s="54"/>
      <c r="F4" s="54"/>
      <c r="G4" s="54"/>
      <c r="H4" s="54"/>
      <c r="I4" s="54"/>
    </row>
    <row r="5" spans="1:9" ht="14.45" customHeight="1">
      <c r="C5" s="54"/>
      <c r="D5" s="54"/>
      <c r="E5" s="54"/>
      <c r="F5" s="54"/>
      <c r="G5" s="54"/>
      <c r="H5" s="54"/>
      <c r="I5" s="54"/>
    </row>
    <row r="6" spans="1:9" ht="62.65" customHeight="1">
      <c r="C6" s="54"/>
      <c r="D6" s="54"/>
      <c r="E6" s="54"/>
      <c r="F6" s="54"/>
      <c r="G6" s="54"/>
      <c r="H6" s="54"/>
      <c r="I6" s="54"/>
    </row>
    <row r="7" spans="1:9" ht="14.45" customHeight="1">
      <c r="A7" s="54" t="s">
        <v>2</v>
      </c>
      <c r="B7" s="54"/>
      <c r="C7" s="54"/>
      <c r="D7" s="54"/>
      <c r="E7" s="54"/>
      <c r="F7" s="54"/>
      <c r="G7" s="54"/>
      <c r="H7" s="54"/>
      <c r="I7" s="54"/>
    </row>
    <row r="8" spans="1:9" ht="14.45" customHeight="1">
      <c r="A8" s="54"/>
      <c r="B8" s="54"/>
      <c r="C8" s="54"/>
      <c r="D8" s="54"/>
      <c r="E8" s="54"/>
      <c r="F8" s="54"/>
      <c r="G8" s="54"/>
      <c r="H8" s="54"/>
      <c r="I8" s="54"/>
    </row>
    <row r="9" spans="1:9" ht="14.45" customHeight="1">
      <c r="A9" s="54"/>
      <c r="B9" s="54"/>
      <c r="C9" s="54"/>
      <c r="D9" s="54"/>
      <c r="E9" s="54"/>
      <c r="F9" s="54"/>
      <c r="G9" s="54"/>
      <c r="H9" s="54"/>
      <c r="I9" s="54"/>
    </row>
    <row r="10" spans="1:9" ht="14.45" customHeight="1">
      <c r="A10" s="54"/>
      <c r="B10" s="54"/>
      <c r="C10" s="54"/>
      <c r="D10" s="54"/>
      <c r="E10" s="54"/>
      <c r="F10" s="54"/>
      <c r="G10" s="54"/>
      <c r="H10" s="54"/>
      <c r="I10" s="54"/>
    </row>
    <row r="11" spans="1:9" ht="61.9" customHeight="1">
      <c r="A11" s="54"/>
      <c r="B11" s="54"/>
      <c r="C11" s="54"/>
      <c r="D11" s="54"/>
      <c r="E11" s="54"/>
      <c r="F11" s="54"/>
      <c r="G11" s="54"/>
      <c r="H11" s="54"/>
      <c r="I11" s="54"/>
    </row>
    <row r="12" spans="1:9" ht="14.45" customHeight="1">
      <c r="A12" s="23"/>
      <c r="E12" s="55" t="s">
        <v>3</v>
      </c>
      <c r="F12" s="55"/>
      <c r="G12" s="55"/>
      <c r="H12" s="55"/>
      <c r="I12" s="55"/>
    </row>
    <row r="13" spans="1:9" ht="14.45" customHeight="1">
      <c r="A13" s="57" t="s">
        <v>4</v>
      </c>
      <c r="B13" s="58"/>
      <c r="C13" s="59"/>
    </row>
    <row r="15" spans="1:9" ht="14.45" customHeight="1">
      <c r="A15" s="51" t="s">
        <v>5</v>
      </c>
      <c r="B15" s="51"/>
      <c r="C15" s="51"/>
      <c r="F15" s="40"/>
      <c r="G15" s="40"/>
    </row>
    <row r="16" spans="1:9" ht="29.1">
      <c r="A16" s="33" t="s">
        <v>6</v>
      </c>
      <c r="B16" s="41" t="s">
        <v>7</v>
      </c>
      <c r="C16" s="1"/>
      <c r="E16" s="40"/>
      <c r="F16" s="40"/>
      <c r="G16" s="40"/>
    </row>
    <row r="17" spans="1:7" ht="14.45" customHeight="1">
      <c r="A17" s="1" t="s">
        <v>8</v>
      </c>
      <c r="B17" s="39" t="s">
        <v>9</v>
      </c>
      <c r="C17" s="1"/>
      <c r="E17" s="53" t="s">
        <v>10</v>
      </c>
      <c r="F17" s="53"/>
      <c r="G17" s="53"/>
    </row>
    <row r="18" spans="1:7" ht="14.45" customHeight="1">
      <c r="A18" s="1" t="s">
        <v>11</v>
      </c>
      <c r="B18" s="18">
        <v>160</v>
      </c>
      <c r="C18" s="1" t="s">
        <v>12</v>
      </c>
      <c r="E18" s="51" t="s">
        <v>13</v>
      </c>
      <c r="F18" s="51"/>
      <c r="G18" s="51"/>
    </row>
    <row r="19" spans="1:7" ht="14.45" customHeight="1">
      <c r="A19" s="1" t="s">
        <v>14</v>
      </c>
      <c r="B19" s="38">
        <v>80.7</v>
      </c>
      <c r="C19" s="1" t="s">
        <v>15</v>
      </c>
      <c r="E19" s="1" t="s">
        <v>16</v>
      </c>
      <c r="F19" s="15">
        <v>3.5</v>
      </c>
      <c r="G19" s="1" t="s">
        <v>17</v>
      </c>
    </row>
    <row r="20" spans="1:7" ht="14.45" customHeight="1">
      <c r="A20" s="1" t="s">
        <v>18</v>
      </c>
      <c r="B20" s="20">
        <v>1.4</v>
      </c>
      <c r="C20" s="1" t="s">
        <v>19</v>
      </c>
      <c r="E20" s="1" t="s">
        <v>20</v>
      </c>
      <c r="F20" s="45">
        <f>IF(B17="Barley",45.93,IF(B17="Wheat",36.744,IF(B17="Corn",39.368,IF(B17="Canola",44.092,IF(B17="Oat",64.842,IF(B17="Pea",36.744,IF(B17="Lentil",36.75,44.092)))))))</f>
        <v>45.93</v>
      </c>
      <c r="G20" s="1" t="s">
        <v>21</v>
      </c>
    </row>
    <row r="21" spans="1:7" ht="14.45" customHeight="1">
      <c r="A21" s="1" t="s">
        <v>22</v>
      </c>
      <c r="B21" s="15">
        <v>160.76</v>
      </c>
      <c r="C21" s="1" t="s">
        <v>23</v>
      </c>
      <c r="E21" s="1" t="s">
        <v>24</v>
      </c>
      <c r="F21" s="4">
        <f>+F19*F20</f>
        <v>160.755</v>
      </c>
      <c r="G21" s="1" t="s">
        <v>23</v>
      </c>
    </row>
    <row r="22" spans="1:7" ht="14.45" customHeight="1">
      <c r="A22" s="52" t="s">
        <v>25</v>
      </c>
      <c r="B22" s="52"/>
      <c r="C22" s="52"/>
      <c r="D22" s="52"/>
      <c r="E22" s="52"/>
    </row>
    <row r="24" spans="1:7" ht="14.45" customHeight="1">
      <c r="A24" s="48" t="s">
        <v>26</v>
      </c>
      <c r="B24" s="50"/>
      <c r="C24" s="50"/>
      <c r="D24" s="50"/>
      <c r="E24" s="49"/>
    </row>
    <row r="25" spans="1:7" ht="14.45" customHeight="1">
      <c r="A25" s="2" t="s">
        <v>27</v>
      </c>
      <c r="B25" s="2" t="s">
        <v>28</v>
      </c>
      <c r="C25" s="2" t="s">
        <v>29</v>
      </c>
      <c r="D25" s="2" t="s">
        <v>30</v>
      </c>
      <c r="E25" s="2" t="s">
        <v>31</v>
      </c>
    </row>
    <row r="26" spans="1:7" ht="14.45" customHeight="1">
      <c r="A26" s="1" t="s">
        <v>32</v>
      </c>
      <c r="B26" s="22">
        <f>37*2.2046</f>
        <v>81.5702</v>
      </c>
      <c r="C26" s="18">
        <v>97</v>
      </c>
      <c r="D26" s="18">
        <v>160</v>
      </c>
      <c r="E26" s="6">
        <f>B26*C26*D26</f>
        <v>1265969.504</v>
      </c>
    </row>
    <row r="27" spans="1:7" ht="14.45" customHeight="1">
      <c r="A27" s="1" t="s">
        <v>33</v>
      </c>
      <c r="B27" s="22">
        <f>26*2.2046</f>
        <v>57.319600000000001</v>
      </c>
      <c r="C27" s="18"/>
      <c r="D27" s="18"/>
      <c r="E27" s="6">
        <f t="shared" ref="E27:E28" si="0">B27*C27*D27</f>
        <v>0</v>
      </c>
    </row>
    <row r="28" spans="1:7" ht="14.45" customHeight="1">
      <c r="A28" s="1" t="s">
        <v>34</v>
      </c>
      <c r="B28" s="22">
        <f>24*2.2046</f>
        <v>52.910400000000003</v>
      </c>
      <c r="C28" s="18"/>
      <c r="D28" s="18"/>
      <c r="E28" s="6">
        <f t="shared" si="0"/>
        <v>0</v>
      </c>
    </row>
    <row r="29" spans="1:7" ht="14.45" customHeight="1">
      <c r="A29" s="1" t="s">
        <v>35</v>
      </c>
      <c r="B29" s="22">
        <f>12*2.2046</f>
        <v>26.455200000000001</v>
      </c>
      <c r="C29" s="18">
        <v>97</v>
      </c>
      <c r="D29" s="18">
        <v>160</v>
      </c>
      <c r="E29" s="6">
        <f>B29*C29*D29</f>
        <v>410584.70400000003</v>
      </c>
    </row>
    <row r="30" spans="1:7" ht="14.45" customHeight="1">
      <c r="A30" s="2" t="s">
        <v>36</v>
      </c>
      <c r="B30" s="1"/>
      <c r="C30" s="6"/>
      <c r="D30" s="6"/>
      <c r="E30" s="6">
        <f>SUM(E26:E29)</f>
        <v>1676554.2080000001</v>
      </c>
    </row>
    <row r="31" spans="1:7" ht="14.45" customHeight="1">
      <c r="A31" s="2" t="s">
        <v>37</v>
      </c>
      <c r="B31" s="1"/>
      <c r="C31" s="6"/>
      <c r="D31" s="6"/>
      <c r="E31" s="6">
        <f>E30/2.2046</f>
        <v>760480</v>
      </c>
    </row>
    <row r="33" spans="1:9" ht="14.45" customHeight="1">
      <c r="A33" s="48" t="s">
        <v>38</v>
      </c>
      <c r="B33" s="49"/>
    </row>
    <row r="34" spans="1:9" ht="14.45" customHeight="1">
      <c r="A34" s="2" t="s">
        <v>39</v>
      </c>
      <c r="B34" s="2" t="s">
        <v>40</v>
      </c>
    </row>
    <row r="35" spans="1:9" ht="14.45" customHeight="1">
      <c r="A35" s="1" t="s">
        <v>41</v>
      </c>
      <c r="B35" s="16">
        <v>0.55000000000000004</v>
      </c>
    </row>
    <row r="36" spans="1:9" ht="14.45" customHeight="1">
      <c r="A36" s="1" t="s">
        <v>42</v>
      </c>
      <c r="B36" s="16">
        <v>0.66</v>
      </c>
    </row>
    <row r="37" spans="1:9" ht="14.45" customHeight="1">
      <c r="A37" s="1" t="s">
        <v>43</v>
      </c>
      <c r="B37" s="16">
        <v>0.5</v>
      </c>
    </row>
    <row r="38" spans="1:9" ht="14.45" customHeight="1">
      <c r="A38" s="1" t="s">
        <v>44</v>
      </c>
      <c r="B38" s="16">
        <v>0.55000000000000004</v>
      </c>
    </row>
    <row r="39" spans="1:9" ht="14.45" customHeight="1">
      <c r="E39" s="32"/>
      <c r="F39" s="32"/>
      <c r="G39" s="32"/>
      <c r="H39" s="32"/>
    </row>
    <row r="40" spans="1:9" ht="14.45" customHeight="1">
      <c r="E40" s="32"/>
      <c r="F40" s="32"/>
      <c r="G40" s="32"/>
      <c r="H40" s="32"/>
    </row>
    <row r="41" spans="1:9" ht="14.45" customHeight="1">
      <c r="A41" s="48" t="s">
        <v>45</v>
      </c>
      <c r="B41" s="50"/>
      <c r="C41" s="49"/>
      <c r="D41" s="32"/>
      <c r="E41" s="48" t="s">
        <v>46</v>
      </c>
      <c r="F41" s="50"/>
      <c r="G41" s="50"/>
      <c r="H41" s="50"/>
      <c r="I41" s="49"/>
    </row>
    <row r="42" spans="1:9" ht="14.45" customHeight="1">
      <c r="A42" s="1" t="s">
        <v>47</v>
      </c>
      <c r="B42" s="15">
        <v>13.38</v>
      </c>
      <c r="C42" s="1" t="s">
        <v>48</v>
      </c>
      <c r="E42" s="1"/>
      <c r="F42" s="28" t="s">
        <v>49</v>
      </c>
      <c r="G42" s="28" t="s">
        <v>50</v>
      </c>
      <c r="H42" s="28" t="s">
        <v>51</v>
      </c>
      <c r="I42" s="28" t="s">
        <v>52</v>
      </c>
    </row>
    <row r="43" spans="1:9" ht="14.45" customHeight="1">
      <c r="A43" s="1" t="s">
        <v>53</v>
      </c>
      <c r="B43" s="15">
        <v>41.36</v>
      </c>
      <c r="C43" s="1" t="s">
        <v>48</v>
      </c>
      <c r="E43" s="1" t="s">
        <v>47</v>
      </c>
      <c r="F43" s="27" t="s">
        <v>54</v>
      </c>
      <c r="G43" s="27" t="s">
        <v>55</v>
      </c>
      <c r="H43" s="27" t="s">
        <v>56</v>
      </c>
      <c r="I43" s="27" t="s">
        <v>57</v>
      </c>
    </row>
    <row r="44" spans="1:9" ht="14.45" customHeight="1">
      <c r="A44" s="1" t="s">
        <v>58</v>
      </c>
      <c r="B44" s="15">
        <v>63.7</v>
      </c>
      <c r="C44" s="1" t="s">
        <v>48</v>
      </c>
      <c r="E44" s="1" t="s">
        <v>53</v>
      </c>
      <c r="F44" s="27" t="s">
        <v>59</v>
      </c>
      <c r="G44" s="27" t="s">
        <v>60</v>
      </c>
      <c r="H44" s="27" t="s">
        <v>61</v>
      </c>
      <c r="I44" s="27" t="s">
        <v>62</v>
      </c>
    </row>
    <row r="45" spans="1:9" ht="14.45" customHeight="1">
      <c r="A45" s="1" t="s">
        <v>63</v>
      </c>
      <c r="B45" s="34">
        <v>17.02</v>
      </c>
      <c r="C45" s="1" t="s">
        <v>64</v>
      </c>
      <c r="E45" s="1" t="s">
        <v>58</v>
      </c>
      <c r="F45" s="27" t="s">
        <v>65</v>
      </c>
      <c r="G45" s="27" t="s">
        <v>66</v>
      </c>
      <c r="H45" s="27" t="s">
        <v>67</v>
      </c>
      <c r="I45" s="27" t="s">
        <v>68</v>
      </c>
    </row>
    <row r="46" spans="1:9" ht="29.1">
      <c r="A46" s="33" t="s">
        <v>69</v>
      </c>
      <c r="B46" s="35">
        <v>260</v>
      </c>
      <c r="C46" s="36" t="s">
        <v>70</v>
      </c>
      <c r="E46" s="36" t="s">
        <v>63</v>
      </c>
      <c r="F46" s="37" t="s">
        <v>71</v>
      </c>
      <c r="G46" s="37" t="s">
        <v>72</v>
      </c>
      <c r="H46" s="37" t="s">
        <v>73</v>
      </c>
      <c r="I46" s="37" t="s">
        <v>74</v>
      </c>
    </row>
    <row r="47" spans="1:9" ht="27.6" customHeight="1">
      <c r="E47" s="56" t="s">
        <v>75</v>
      </c>
      <c r="F47" s="56"/>
      <c r="G47" s="56"/>
      <c r="H47" s="56"/>
      <c r="I47" s="56"/>
    </row>
    <row r="48" spans="1:9" ht="14.45" customHeight="1">
      <c r="A48" s="17"/>
    </row>
    <row r="49" spans="1:10" ht="14.45" customHeight="1">
      <c r="A49" s="42"/>
      <c r="B49" s="48" t="s">
        <v>76</v>
      </c>
      <c r="C49" s="50"/>
      <c r="D49" s="50"/>
      <c r="E49" s="49"/>
      <c r="F49" s="44"/>
      <c r="G49" s="44"/>
      <c r="H49" s="44"/>
      <c r="I49" s="44"/>
      <c r="J49" s="44"/>
    </row>
    <row r="50" spans="1:10" ht="43.15" customHeight="1">
      <c r="B50" s="43" t="s">
        <v>77</v>
      </c>
      <c r="C50" s="43" t="s">
        <v>78</v>
      </c>
      <c r="D50" s="43" t="s">
        <v>79</v>
      </c>
      <c r="E50" s="43" t="s">
        <v>80</v>
      </c>
    </row>
    <row r="51" spans="1:10" ht="14.45" customHeight="1">
      <c r="A51" s="1" t="s">
        <v>81</v>
      </c>
      <c r="B51" s="4">
        <f>(B19*B21)/F20+B43</f>
        <v>323.81878510777273</v>
      </c>
      <c r="C51" s="29">
        <f>(B19*B21)/F20+B42</f>
        <v>295.83878510777271</v>
      </c>
      <c r="D51" s="29">
        <f>(B19*B21)/F20+B45+B42</f>
        <v>312.85878510777269</v>
      </c>
      <c r="E51" s="29">
        <f>(B19*B21)/F20+B44</f>
        <v>346.1587851077727</v>
      </c>
    </row>
    <row r="52" spans="1:10" ht="14.45" customHeight="1">
      <c r="A52" s="1" t="s">
        <v>82</v>
      </c>
      <c r="B52" s="4">
        <f>Tables!J9</f>
        <v>64.070859999999996</v>
      </c>
      <c r="C52" s="4">
        <f>0</f>
        <v>0</v>
      </c>
      <c r="D52" s="4">
        <f>Tables!K9</f>
        <v>80.784727475199986</v>
      </c>
      <c r="E52" s="4">
        <f>Tables!L9</f>
        <v>76.107844943199993</v>
      </c>
    </row>
    <row r="53" spans="1:10" ht="14.45" customHeight="1">
      <c r="A53" s="1" t="s">
        <v>83</v>
      </c>
      <c r="B53" s="4">
        <f>-Tables!M9</f>
        <v>-43.102504972799998</v>
      </c>
      <c r="C53" s="4">
        <v>0</v>
      </c>
      <c r="D53" s="4">
        <f>-Tables!O9</f>
        <v>0</v>
      </c>
      <c r="E53" s="4">
        <f>-Tables!P9</f>
        <v>0</v>
      </c>
    </row>
    <row r="54" spans="1:10" ht="14.45" customHeight="1">
      <c r="A54" s="1" t="s">
        <v>84</v>
      </c>
      <c r="B54" s="4">
        <v>0</v>
      </c>
      <c r="C54" s="4">
        <f>IF(B16="Yes",-Tables!N9,0)</f>
        <v>-290.59294948712005</v>
      </c>
      <c r="D54" s="4">
        <v>0</v>
      </c>
      <c r="E54" s="4">
        <v>0</v>
      </c>
    </row>
    <row r="55" spans="1:10" ht="14.45" customHeight="1">
      <c r="A55" s="2" t="s">
        <v>85</v>
      </c>
      <c r="B55" s="5">
        <f>IF($B$16="Yes",+B51+B52+B53+B54,+B51+B52+B53)</f>
        <v>344.78714013497273</v>
      </c>
      <c r="C55" s="5">
        <f t="shared" ref="C55" si="1">IF($B$16="Yes",+C51+C52+C53+C54,+C51+C52+C53)</f>
        <v>5.245835620652656</v>
      </c>
      <c r="D55" s="5">
        <f t="shared" ref="D55" si="2">IF($B$16="Yes",+D51+D52+D53+D54,+D51+D52+D53)</f>
        <v>393.64351258297268</v>
      </c>
      <c r="E55" s="5">
        <f t="shared" ref="E55" si="3">IF($B$16="Yes",+E51+E52+E53+E54,+E51+E52+E53)</f>
        <v>422.26663005097271</v>
      </c>
    </row>
    <row r="56" spans="1:10" ht="14.45" customHeight="1">
      <c r="A56" s="23"/>
      <c r="B56" s="25"/>
      <c r="C56" s="25"/>
      <c r="D56" s="25"/>
      <c r="E56" s="25"/>
    </row>
    <row r="57" spans="1:10" ht="14.45" customHeight="1">
      <c r="A57" s="42"/>
      <c r="B57" s="48" t="s">
        <v>86</v>
      </c>
      <c r="C57" s="50"/>
      <c r="D57" s="50"/>
      <c r="E57" s="50"/>
      <c r="F57" s="49"/>
    </row>
    <row r="58" spans="1:10" ht="43.7">
      <c r="B58" s="43" t="s">
        <v>77</v>
      </c>
      <c r="C58" s="43" t="s">
        <v>78</v>
      </c>
      <c r="D58" s="43" t="s">
        <v>79</v>
      </c>
      <c r="E58" s="43" t="s">
        <v>80</v>
      </c>
      <c r="F58" s="43" t="s">
        <v>87</v>
      </c>
    </row>
    <row r="59" spans="1:10" ht="14.45" customHeight="1">
      <c r="A59" s="1" t="s">
        <v>81</v>
      </c>
      <c r="B59" s="4">
        <f t="shared" ref="B59:E62" si="4">B51*($F$20/$B$19)</f>
        <v>184.29983643122677</v>
      </c>
      <c r="C59" s="4">
        <f t="shared" si="4"/>
        <v>168.37515985130111</v>
      </c>
      <c r="D59" s="4">
        <f t="shared" si="4"/>
        <v>178.06200743494421</v>
      </c>
      <c r="E59" s="4">
        <f t="shared" si="4"/>
        <v>197.01453531598511</v>
      </c>
      <c r="F59" s="4">
        <f>F63</f>
        <v>235.8681</v>
      </c>
    </row>
    <row r="60" spans="1:10" ht="14.45" customHeight="1">
      <c r="A60" s="1" t="s">
        <v>82</v>
      </c>
      <c r="B60" s="4">
        <f t="shared" si="4"/>
        <v>36.465608423791814</v>
      </c>
      <c r="C60" s="4">
        <f t="shared" si="4"/>
        <v>0</v>
      </c>
      <c r="D60" s="4">
        <f t="shared" si="4"/>
        <v>45.978222217297834</v>
      </c>
      <c r="E60" s="4">
        <f t="shared" si="4"/>
        <v>43.316397995553601</v>
      </c>
      <c r="F60" s="4"/>
    </row>
    <row r="61" spans="1:10" ht="14.45" customHeight="1">
      <c r="A61" s="1" t="s">
        <v>83</v>
      </c>
      <c r="B61" s="4">
        <f t="shared" si="4"/>
        <v>-24.531574391582449</v>
      </c>
      <c r="C61" s="4">
        <f t="shared" si="4"/>
        <v>0</v>
      </c>
      <c r="D61" s="4">
        <f t="shared" si="4"/>
        <v>0</v>
      </c>
      <c r="E61" s="4">
        <f t="shared" si="4"/>
        <v>0</v>
      </c>
      <c r="F61" s="4"/>
    </row>
    <row r="62" spans="1:10" ht="14.45" customHeight="1">
      <c r="A62" s="1" t="s">
        <v>84</v>
      </c>
      <c r="B62" s="4">
        <f t="shared" si="4"/>
        <v>0</v>
      </c>
      <c r="C62" s="4">
        <f t="shared" si="4"/>
        <v>-165.38951883449099</v>
      </c>
      <c r="D62" s="4">
        <f t="shared" si="4"/>
        <v>0</v>
      </c>
      <c r="E62" s="4">
        <f t="shared" si="4"/>
        <v>0</v>
      </c>
      <c r="F62" s="4"/>
    </row>
    <row r="63" spans="1:10" ht="14.45" customHeight="1">
      <c r="A63" s="2" t="s">
        <v>85</v>
      </c>
      <c r="B63" s="5">
        <f t="shared" ref="B63" si="5">IF($B$16="Yes",+B59+B60+B61+B62,+B59+B60+B61)</f>
        <v>196.23387046343615</v>
      </c>
      <c r="C63" s="5">
        <f t="shared" ref="C63" si="6">IF($B$16="Yes",+C59+C60+C61+C62,+C59+C60+C61)</f>
        <v>2.9856410168101206</v>
      </c>
      <c r="D63" s="5">
        <f t="shared" ref="D63" si="7">IF($B$16="Yes",+D59+D60+D61+D62,+D59+D60+D61)</f>
        <v>224.04022965224203</v>
      </c>
      <c r="E63" s="5">
        <f t="shared" ref="E63" si="8">IF($B$16="Yes",+E59+E60+E61+E62,+E59+E60+E61)</f>
        <v>240.33093331153873</v>
      </c>
      <c r="F63" s="5">
        <f>B46*0.907185</f>
        <v>235.8681</v>
      </c>
    </row>
    <row r="64" spans="1:10" ht="14.45" customHeight="1">
      <c r="A64" s="23"/>
      <c r="B64" s="25"/>
      <c r="C64" s="25"/>
      <c r="D64" s="25"/>
      <c r="E64" s="25"/>
    </row>
    <row r="65" spans="1:5" ht="14.45" customHeight="1">
      <c r="A65" s="23"/>
      <c r="B65" s="25"/>
      <c r="C65" s="25"/>
      <c r="D65" s="25"/>
      <c r="E65" s="25"/>
    </row>
    <row r="66" spans="1:5" ht="14.45" customHeight="1">
      <c r="A66" s="23"/>
      <c r="B66" s="25"/>
      <c r="C66" s="25"/>
      <c r="D66" s="25"/>
      <c r="E66" s="25"/>
    </row>
    <row r="67" spans="1:5" ht="14.45" customHeight="1">
      <c r="A67" s="23"/>
      <c r="B67" s="25"/>
      <c r="C67" s="25"/>
      <c r="D67" s="25"/>
      <c r="E67" s="25"/>
    </row>
    <row r="68" spans="1:5" ht="14.45" customHeight="1">
      <c r="A68" s="23"/>
      <c r="B68" s="25"/>
      <c r="C68" s="25"/>
      <c r="D68" s="25"/>
      <c r="E68" s="25"/>
    </row>
    <row r="69" spans="1:5" ht="14.45" customHeight="1">
      <c r="A69" s="23"/>
      <c r="B69" s="25"/>
      <c r="C69" s="25"/>
      <c r="D69" s="25"/>
      <c r="E69" s="25"/>
    </row>
    <row r="70" spans="1:5" ht="14.45" customHeight="1">
      <c r="A70" s="23"/>
      <c r="B70" s="25"/>
      <c r="C70" s="25"/>
      <c r="D70" s="25"/>
      <c r="E70" s="25"/>
    </row>
    <row r="71" spans="1:5" ht="14.45" customHeight="1">
      <c r="A71" s="23"/>
      <c r="B71" s="25"/>
      <c r="C71" s="25"/>
      <c r="D71" s="25"/>
      <c r="E71" s="25"/>
    </row>
    <row r="72" spans="1:5" ht="14.45" customHeight="1">
      <c r="A72" s="23"/>
      <c r="B72" s="25"/>
      <c r="C72" s="25"/>
      <c r="D72" s="25"/>
      <c r="E72" s="25"/>
    </row>
    <row r="74" spans="1:5" ht="14.45" hidden="1" customHeight="1">
      <c r="A74" s="48" t="s">
        <v>88</v>
      </c>
      <c r="B74" s="49"/>
    </row>
    <row r="75" spans="1:5" ht="14.45" hidden="1" customHeight="1">
      <c r="A75" s="28" t="s">
        <v>89</v>
      </c>
      <c r="B75" s="28" t="s">
        <v>90</v>
      </c>
    </row>
    <row r="76" spans="1:5" ht="14.45" hidden="1" customHeight="1">
      <c r="A76" s="30" t="s">
        <v>49</v>
      </c>
      <c r="B76" s="19" t="s">
        <v>91</v>
      </c>
    </row>
    <row r="77" spans="1:5" ht="14.45" hidden="1" customHeight="1">
      <c r="A77" s="30" t="s">
        <v>50</v>
      </c>
      <c r="B77" s="19" t="s">
        <v>92</v>
      </c>
    </row>
    <row r="78" spans="1:5" ht="14.45" hidden="1" customHeight="1">
      <c r="A78" s="46" t="s">
        <v>51</v>
      </c>
      <c r="B78" s="19" t="s">
        <v>93</v>
      </c>
    </row>
    <row r="79" spans="1:5" ht="14.45" hidden="1" customHeight="1">
      <c r="A79" s="47"/>
      <c r="B79" s="19" t="s">
        <v>94</v>
      </c>
    </row>
    <row r="80" spans="1:5" ht="14.45" hidden="1" customHeight="1">
      <c r="A80" s="30" t="s">
        <v>52</v>
      </c>
      <c r="B80" s="19" t="s">
        <v>95</v>
      </c>
    </row>
  </sheetData>
  <sheetProtection algorithmName="SHA-512" hashValue="U3hMOSTZWhOLGP4DyrE2cwfRPtWzKD/EBwdfI8hb9MYDkfpkCQw1ykulHa7pfwT4sI0wHN2RnOpO7TEDECKOcQ==" saltValue="gHzZh2K+4S2OJGMXhwD59Q==" spinCount="100000" sheet="1" objects="1" scenarios="1"/>
  <protectedRanges>
    <protectedRange sqref="B16:B21 F19 C26:D29 B35:B38 B42:B46" name="Range1"/>
  </protectedRanges>
  <mergeCells count="17">
    <mergeCell ref="C2:I6"/>
    <mergeCell ref="A7:I11"/>
    <mergeCell ref="E12:I12"/>
    <mergeCell ref="E47:I47"/>
    <mergeCell ref="A13:C13"/>
    <mergeCell ref="A78:A79"/>
    <mergeCell ref="A74:B74"/>
    <mergeCell ref="E41:I41"/>
    <mergeCell ref="A15:C15"/>
    <mergeCell ref="E18:G18"/>
    <mergeCell ref="A24:E24"/>
    <mergeCell ref="A33:B33"/>
    <mergeCell ref="A41:C41"/>
    <mergeCell ref="A22:E22"/>
    <mergeCell ref="E17:G17"/>
    <mergeCell ref="B49:E49"/>
    <mergeCell ref="B57:F57"/>
  </mergeCells>
  <dataValidations count="1">
    <dataValidation type="list" allowBlank="1" showInputMessage="1" showErrorMessage="1" sqref="B16" xr:uid="{BE2D9FDD-F8E8-4CC5-9E53-2D47FEEC17CC}">
      <formula1>"Yes, No"</formula1>
    </dataValidation>
  </dataValidations>
  <hyperlinks>
    <hyperlink ref="B78" r:id="rId1" xr:uid="{A40FA36E-60B3-483A-BA08-5F01FC712C53}"/>
    <hyperlink ref="B76" r:id="rId2" xr:uid="{AC5E84DC-2E97-49D1-93CB-0A51455FC1F5}"/>
    <hyperlink ref="B77" r:id="rId3" location="/products/76527" xr:uid="{B4C22A40-73E1-46A7-95EF-2129C3BFEDD9}"/>
    <hyperlink ref="B80" r:id="rId4" xr:uid="{83FD0EFA-508B-417F-A301-D728A00FB364}"/>
    <hyperlink ref="B79" r:id="rId5" xr:uid="{8B65E991-4AF3-4FBB-BA5E-05EB2032AFD5}"/>
    <hyperlink ref="E12:I12" r:id="rId6" display="https://www.beefresearch.ca/tools/forage-cost-of-production-calculator/" xr:uid="{9F73BD75-A569-4586-BF15-1ABC2F930E45}"/>
  </hyperlinks>
  <pageMargins left="0.7" right="0.7" top="0.75" bottom="0.75" header="0.3" footer="0.3"/>
  <pageSetup orientation="landscape" r:id="rId7"/>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421A8519-E819-4BC2-892C-1211A15C9E0F}">
          <x14:formula1>
            <xm:f>Tables!$B$9:$B$32</xm:f>
          </x14:formula1>
          <xm:sqref>B17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81BD-5BA1-40D4-9653-42D091C32C50}">
  <dimension ref="B2:O34"/>
  <sheetViews>
    <sheetView workbookViewId="0">
      <selection activeCell="J9" sqref="J9"/>
    </sheetView>
  </sheetViews>
  <sheetFormatPr defaultRowHeight="14.65"/>
  <cols>
    <col min="2" max="2" width="29.28515625" bestFit="1" customWidth="1"/>
    <col min="3" max="3" width="6.28515625" bestFit="1" customWidth="1"/>
    <col min="4" max="7" width="9" bestFit="1" customWidth="1"/>
    <col min="8" max="8" width="9" customWidth="1"/>
    <col min="9" max="9" width="20.7109375" bestFit="1" customWidth="1"/>
    <col min="10" max="12" width="11.42578125" bestFit="1" customWidth="1"/>
    <col min="13" max="13" width="10.42578125" bestFit="1" customWidth="1"/>
    <col min="14" max="14" width="11.7109375" bestFit="1" customWidth="1"/>
    <col min="15" max="15" width="18.140625" bestFit="1" customWidth="1"/>
  </cols>
  <sheetData>
    <row r="2" spans="2:15">
      <c r="B2" s="60" t="s">
        <v>96</v>
      </c>
      <c r="C2" s="60"/>
      <c r="D2" s="60"/>
      <c r="E2" s="60"/>
      <c r="F2" s="60"/>
      <c r="G2" s="60"/>
      <c r="H2" s="26"/>
    </row>
    <row r="3" spans="2:15">
      <c r="B3" s="7" t="s">
        <v>97</v>
      </c>
      <c r="C3" s="7"/>
      <c r="D3" s="8" t="s">
        <v>98</v>
      </c>
      <c r="E3" s="7" t="s">
        <v>99</v>
      </c>
      <c r="F3" s="7" t="s">
        <v>100</v>
      </c>
      <c r="G3" s="7" t="s">
        <v>101</v>
      </c>
      <c r="H3" s="26"/>
    </row>
    <row r="4" spans="2:15">
      <c r="B4" s="9"/>
      <c r="C4" s="9"/>
      <c r="D4" s="10" t="s">
        <v>102</v>
      </c>
      <c r="E4" s="9" t="s">
        <v>102</v>
      </c>
      <c r="F4" s="9" t="s">
        <v>102</v>
      </c>
      <c r="G4" s="9" t="s">
        <v>102</v>
      </c>
      <c r="H4" s="26"/>
      <c r="I4" s="2" t="s">
        <v>39</v>
      </c>
      <c r="J4" s="2" t="s">
        <v>103</v>
      </c>
      <c r="K4" s="2" t="s">
        <v>104</v>
      </c>
      <c r="L4" s="2" t="s">
        <v>105</v>
      </c>
      <c r="M4" s="2" t="s">
        <v>106</v>
      </c>
      <c r="N4" s="2" t="s">
        <v>107</v>
      </c>
      <c r="O4" s="2" t="s">
        <v>108</v>
      </c>
    </row>
    <row r="5" spans="2:15">
      <c r="B5" s="11" t="s">
        <v>109</v>
      </c>
      <c r="C5" s="11" t="s">
        <v>104</v>
      </c>
      <c r="D5" s="12">
        <f>2204.6*0.182*0.16</f>
        <v>64.197952000000001</v>
      </c>
      <c r="E5" s="12">
        <f>2204.6*2.29*0.0024</f>
        <v>12.116481599999998</v>
      </c>
      <c r="F5" s="12">
        <f>2204.6*1.2*0.0172</f>
        <v>45.502943999999999</v>
      </c>
      <c r="G5" s="12">
        <f>2204.6*0.0024</f>
        <v>5.2910399999999997</v>
      </c>
      <c r="H5" s="26"/>
      <c r="I5" s="1" t="s">
        <v>41</v>
      </c>
      <c r="J5" s="21">
        <f>SUMIFS(Tables!$D:$D,Tables!$B:$B,Calculator!$B$17,Tables!$C:$C,J$4)*Calculator!$B$20</f>
        <v>61.739999999999995</v>
      </c>
      <c r="K5" s="21">
        <f>SUMIFS(Tables!$D:$D,Tables!$B:$B,Calculator!$B$17,Tables!$C:$C,K$4)*Calculator!$B$20</f>
        <v>58.271987199999991</v>
      </c>
      <c r="L5" s="21">
        <f>SUMIFS(Tables!$D:$D,Tables!$B:$B,Calculator!$B$17,Tables!$C:$C,L$4)*Calculator!$B$20</f>
        <v>54.815174400000004</v>
      </c>
      <c r="M5" s="21">
        <f>SUMIFS(Tables!$D:$D,Tables!$B:$B,Calculator!$B$17,Tables!$C:$C,M$4)*Calculator!$B$20</f>
        <v>20.740876799999999</v>
      </c>
      <c r="N5" s="6">
        <f>(0.006*Calculator!E31)*2.2046</f>
        <v>10059.325248000001</v>
      </c>
      <c r="O5" s="1" t="s">
        <v>110</v>
      </c>
    </row>
    <row r="6" spans="2:15">
      <c r="B6" s="11" t="s">
        <v>109</v>
      </c>
      <c r="C6" s="11" t="s">
        <v>105</v>
      </c>
      <c r="D6" s="12">
        <f>2204.6*0.182*0.16</f>
        <v>64.197952000000001</v>
      </c>
      <c r="E6" s="12">
        <f>2204.6*2.29*0.0025</f>
        <v>12.621335</v>
      </c>
      <c r="F6" s="12">
        <f>2204.6*1.2*0.0182</f>
        <v>48.148464000000004</v>
      </c>
      <c r="G6" s="12">
        <f>2204.6*0.0027</f>
        <v>5.95242</v>
      </c>
      <c r="H6" s="26"/>
      <c r="I6" s="1" t="s">
        <v>42</v>
      </c>
      <c r="J6" s="21">
        <f>SUMIFS(Tables!$E:$E,Tables!$B:$B,Calculator!$B$17,Tables!$C:$C,J$4)*Calculator!$B$20</f>
        <v>26.866</v>
      </c>
      <c r="K6" s="21">
        <f>SUMIFS(Tables!$E:$E,Tables!$B:$B,Calculator!$B$17,Tables!$C:$C,K$4)*Calculator!$B$20</f>
        <v>15.549484719999999</v>
      </c>
      <c r="L6" s="21">
        <f>SUMIFS(Tables!$E:$E,Tables!$B:$B,Calculator!$B$17,Tables!$C:$C,L$4)*Calculator!$B$20</f>
        <v>19.083458520000001</v>
      </c>
      <c r="M6" s="21">
        <f>SUMIFS(Tables!$E:$E,Tables!$B:$B,Calculator!$B$17,Tables!$C:$C,M$4)*Calculator!$B$20</f>
        <v>5.6543580799999997</v>
      </c>
      <c r="N6" s="6">
        <f>(0.00789*Calculator!E31)*2.2046</f>
        <v>13228.01270112</v>
      </c>
      <c r="O6" s="1" t="s">
        <v>111</v>
      </c>
    </row>
    <row r="7" spans="2:15">
      <c r="B7" s="11" t="s">
        <v>112</v>
      </c>
      <c r="C7" s="11" t="s">
        <v>104</v>
      </c>
      <c r="D7" s="12">
        <f>2204.6*0.14*0.16</f>
        <v>49.383040000000001</v>
      </c>
      <c r="E7" s="12">
        <f>2204.6*2.29*0.0019</f>
        <v>9.5922146000000001</v>
      </c>
      <c r="F7" s="12">
        <f>2204.6*1.2*0.0165</f>
        <v>43.65108</v>
      </c>
      <c r="G7" s="12">
        <f>2204.6*0.0017</f>
        <v>3.7478199999999995</v>
      </c>
      <c r="H7" s="26"/>
      <c r="I7" s="1" t="s">
        <v>43</v>
      </c>
      <c r="J7" s="21">
        <f>SUMIFS(Tables!$F:$F,Tables!$B:$B,Calculator!$B$17,Tables!$C:$C,J$4)*Calculator!$B$20</f>
        <v>20.005999999999997</v>
      </c>
      <c r="K7" s="21">
        <f>SUMIFS(Tables!$F:$F,Tables!$B:$B,Calculator!$B$17,Tables!$C:$C,K$4)*Calculator!$B$20</f>
        <v>67.77822239999999</v>
      </c>
      <c r="L7" s="21">
        <f>SUMIFS(Tables!$F:$F,Tables!$B:$B,Calculator!$B$17,Tables!$C:$C,L$4)*Calculator!$B$20</f>
        <v>59.259647999999991</v>
      </c>
      <c r="M7" s="21">
        <f>SUMIFS(Tables!$F:$F,Tables!$B:$B,Calculator!$B$17,Tables!$C:$C,M$4)*Calculator!$B$20</f>
        <v>51.852192000000002</v>
      </c>
      <c r="N7" s="6">
        <f>(0.03845*Calculator!E31)*2.2046</f>
        <v>64463.509297600001</v>
      </c>
      <c r="O7" s="1" t="s">
        <v>113</v>
      </c>
    </row>
    <row r="8" spans="2:15">
      <c r="B8" s="11" t="s">
        <v>112</v>
      </c>
      <c r="C8" s="11" t="s">
        <v>105</v>
      </c>
      <c r="D8" s="12">
        <f>2204.6*0.146*0.16</f>
        <v>51.499455999999995</v>
      </c>
      <c r="E8" s="12">
        <f>2204.6*2.29*0.0023</f>
        <v>11.611628199999998</v>
      </c>
      <c r="F8" s="12">
        <f>2204.6*1.2*0.0162</f>
        <v>42.857423999999995</v>
      </c>
      <c r="G8" s="12">
        <f>2204.6*0.0012</f>
        <v>2.6455199999999999</v>
      </c>
      <c r="H8" s="26"/>
      <c r="I8" s="1" t="s">
        <v>44</v>
      </c>
      <c r="J8" s="21">
        <f>SUMIFS(Tables!$G:$G,Tables!$B:$B,Calculator!$B$17,Tables!$C:$C,J$4)*Calculator!$B$20</f>
        <v>4.3259999999999996</v>
      </c>
      <c r="K8" s="21">
        <f>SUMIFS(Tables!$G:$G,Tables!$B:$B,Calculator!$B$17,Tables!$C:$C,K$4)*Calculator!$B$20</f>
        <v>8.3333879999999994</v>
      </c>
      <c r="L8" s="21">
        <f>SUMIFS(Tables!$G:$G,Tables!$B:$B,Calculator!$B$17,Tables!$C:$C,L$4)*Calculator!$B$20</f>
        <v>6.7901680000000004</v>
      </c>
      <c r="M8" s="21">
        <f>SUMIFS(Tables!$G:$G,Tables!$B:$B,Calculator!$B$17,Tables!$C:$C,M$4)*Calculator!$B$20</f>
        <v>3.7037279999999995</v>
      </c>
      <c r="N8" s="3"/>
      <c r="O8" s="1"/>
    </row>
    <row r="9" spans="2:15">
      <c r="B9" s="11" t="s">
        <v>9</v>
      </c>
      <c r="C9" s="11" t="s">
        <v>103</v>
      </c>
      <c r="D9" s="12">
        <v>44.1</v>
      </c>
      <c r="E9" s="12">
        <v>19.190000000000001</v>
      </c>
      <c r="F9" s="12">
        <v>14.29</v>
      </c>
      <c r="G9" s="12">
        <v>3.09</v>
      </c>
      <c r="H9" s="26"/>
      <c r="I9" s="1" t="s">
        <v>114</v>
      </c>
      <c r="J9" s="4">
        <f>SUMPRODUCT(J5:J8,Calculator!$B$35:$B$38)</f>
        <v>64.070859999999996</v>
      </c>
      <c r="K9" s="4">
        <f>SUMPRODUCT(K5:K8,Calculator!$B$35:$B$38)</f>
        <v>80.784727475199986</v>
      </c>
      <c r="L9" s="4">
        <f>SUMPRODUCT(L5:L8,Calculator!$B$35:$B$38)</f>
        <v>76.107844943199993</v>
      </c>
      <c r="M9" s="4">
        <f>SUMPRODUCT(M5:M8,Calculator!$B$35:$B$38)</f>
        <v>43.102504972799998</v>
      </c>
      <c r="N9" s="4">
        <f>N10/Calculator!B18</f>
        <v>290.59294948712005</v>
      </c>
      <c r="O9" s="1"/>
    </row>
    <row r="10" spans="2:15">
      <c r="B10" s="11" t="s">
        <v>9</v>
      </c>
      <c r="C10" s="11" t="s">
        <v>106</v>
      </c>
      <c r="D10" s="12">
        <f>2204.6*0.042*0.16</f>
        <v>14.814912</v>
      </c>
      <c r="E10" s="12">
        <f>2204.6*2.29*0.0008</f>
        <v>4.0388272000000001</v>
      </c>
      <c r="F10" s="12">
        <f>2204.6*1.2*0.014</f>
        <v>37.037280000000003</v>
      </c>
      <c r="G10" s="12">
        <f>2204.6*0.0012</f>
        <v>2.6455199999999999</v>
      </c>
      <c r="H10" s="26"/>
      <c r="I10" s="2" t="s">
        <v>115</v>
      </c>
      <c r="J10" s="5">
        <f>+J9*Calculator!$B$18</f>
        <v>10251.337599999999</v>
      </c>
      <c r="K10" s="5">
        <f>+K9*Calculator!$B$18</f>
        <v>12925.556396031998</v>
      </c>
      <c r="L10" s="5">
        <f>+L9*Calculator!$B$18</f>
        <v>12177.255190911999</v>
      </c>
      <c r="M10" s="5">
        <f>+M9*Calculator!$B$18</f>
        <v>6896.400795648</v>
      </c>
      <c r="N10" s="5">
        <f>SUMPRODUCT(N5:N8,Calculator!B35:B38)</f>
        <v>46494.871917939206</v>
      </c>
      <c r="O10" s="1"/>
    </row>
    <row r="11" spans="2:15">
      <c r="B11" s="11" t="s">
        <v>9</v>
      </c>
      <c r="C11" s="11" t="s">
        <v>104</v>
      </c>
      <c r="D11" s="12">
        <f>2204.6*0.118*0.16</f>
        <v>41.622847999999998</v>
      </c>
      <c r="E11" s="12">
        <f>2204.6*2.29*0.0022</f>
        <v>11.1067748</v>
      </c>
      <c r="F11" s="12">
        <f>2204.6*1.2*0.0183</f>
        <v>48.413015999999999</v>
      </c>
      <c r="G11" s="12">
        <f>2204.6*0.0027</f>
        <v>5.95242</v>
      </c>
      <c r="H11" s="26"/>
    </row>
    <row r="12" spans="2:15">
      <c r="B12" s="11" t="s">
        <v>9</v>
      </c>
      <c r="C12" s="11" t="s">
        <v>105</v>
      </c>
      <c r="D12" s="12">
        <f>2204.6*0.111*0.16</f>
        <v>39.153696000000004</v>
      </c>
      <c r="E12" s="12">
        <f>2204.6*2.29*0.0027</f>
        <v>13.6310418</v>
      </c>
      <c r="F12" s="12">
        <f>2204.6*1.2*0.016</f>
        <v>42.328319999999998</v>
      </c>
      <c r="G12" s="12">
        <f>2204.6*0.0022</f>
        <v>4.8501200000000004</v>
      </c>
      <c r="H12" s="26"/>
    </row>
    <row r="13" spans="2:15">
      <c r="B13" s="11" t="s">
        <v>116</v>
      </c>
      <c r="C13" s="11" t="s">
        <v>104</v>
      </c>
      <c r="D13" s="12">
        <f>2204.6*0.106*0.16</f>
        <v>37.390015999999996</v>
      </c>
      <c r="E13" s="12">
        <f>2204.6*2.29*0.0017</f>
        <v>8.5825077999999984</v>
      </c>
      <c r="F13" s="12">
        <f>2204.6*1.2*0.015</f>
        <v>39.6828</v>
      </c>
      <c r="G13" s="12">
        <f>2204.6*0.0014</f>
        <v>3.0864399999999996</v>
      </c>
      <c r="H13" s="24"/>
    </row>
    <row r="14" spans="2:15">
      <c r="B14" s="11" t="s">
        <v>117</v>
      </c>
      <c r="C14" s="11" t="s">
        <v>103</v>
      </c>
      <c r="D14" s="12">
        <v>82.19</v>
      </c>
      <c r="E14" s="12">
        <v>32.31</v>
      </c>
      <c r="F14" s="12">
        <v>22.49</v>
      </c>
      <c r="G14" s="12">
        <v>12.57</v>
      </c>
      <c r="H14" s="24"/>
    </row>
    <row r="15" spans="2:15">
      <c r="B15" s="11" t="s">
        <v>117</v>
      </c>
      <c r="C15" s="11" t="s">
        <v>104</v>
      </c>
      <c r="D15" s="12">
        <f>2204.6*0.151*0.16</f>
        <v>53.263135999999996</v>
      </c>
      <c r="E15" s="12">
        <f>2204.6*2.29*0.0027</f>
        <v>13.6310418</v>
      </c>
      <c r="F15" s="12">
        <f>2204.6*1.2*0.0164</f>
        <v>43.386528000000006</v>
      </c>
      <c r="G15" s="12">
        <f>2204.6*0.0055</f>
        <v>12.125299999999999</v>
      </c>
      <c r="H15" s="24"/>
    </row>
    <row r="16" spans="2:15">
      <c r="B16" s="11" t="s">
        <v>117</v>
      </c>
      <c r="C16" s="11" t="s">
        <v>105</v>
      </c>
      <c r="D16" s="12">
        <f>2204.6*0.162*0.16</f>
        <v>57.143231999999998</v>
      </c>
      <c r="E16" s="12">
        <f>2204.6*2.29*0.0033</f>
        <v>16.660162199999998</v>
      </c>
      <c r="F16" s="12">
        <f>2204.6*1.2*0.0216</f>
        <v>57.143232000000005</v>
      </c>
      <c r="G16" s="12">
        <f>2204.6*0.0055</f>
        <v>12.125299999999999</v>
      </c>
      <c r="H16" s="24"/>
    </row>
    <row r="17" spans="2:8">
      <c r="B17" s="11" t="s">
        <v>118</v>
      </c>
      <c r="C17" s="11" t="s">
        <v>105</v>
      </c>
      <c r="D17" s="12">
        <f>2204.6*0.1*0.16</f>
        <v>35.273600000000002</v>
      </c>
      <c r="E17" s="12">
        <f>2204.6*2.29*0.0026</f>
        <v>13.126188399999998</v>
      </c>
      <c r="F17" s="12">
        <f>2204.6*1.2*0.0142</f>
        <v>37.566383999999999</v>
      </c>
      <c r="G17" s="12">
        <f>2204.6*0.0007</f>
        <v>1.5432199999999998</v>
      </c>
      <c r="H17" s="24"/>
    </row>
    <row r="18" spans="2:8">
      <c r="B18" s="11" t="s">
        <v>119</v>
      </c>
      <c r="C18" s="11" t="s">
        <v>103</v>
      </c>
      <c r="D18" s="12">
        <v>82.89</v>
      </c>
      <c r="E18" s="12">
        <v>20.190000000000001</v>
      </c>
      <c r="F18" s="12">
        <v>24.6</v>
      </c>
      <c r="G18" s="12">
        <v>5.07</v>
      </c>
      <c r="H18" s="24"/>
    </row>
    <row r="19" spans="2:8">
      <c r="B19" s="11" t="s">
        <v>119</v>
      </c>
      <c r="C19" s="11" t="s">
        <v>106</v>
      </c>
      <c r="D19" s="12">
        <f>2204.6*0.065*0.16</f>
        <v>22.92784</v>
      </c>
      <c r="E19" s="12">
        <f>2204.6*2.29*0.0013</f>
        <v>6.5630941999999992</v>
      </c>
      <c r="F19" s="12">
        <f>2204.6*1.2*0.0065</f>
        <v>17.195879999999999</v>
      </c>
      <c r="G19" s="12">
        <f>2204.6*0.0013</f>
        <v>2.86598</v>
      </c>
      <c r="H19" s="24"/>
    </row>
    <row r="20" spans="2:8">
      <c r="B20" s="11" t="s">
        <v>119</v>
      </c>
      <c r="C20" s="11" t="s">
        <v>104</v>
      </c>
      <c r="D20" s="12">
        <f>2204.6*0.142*0.16</f>
        <v>50.088511999999994</v>
      </c>
      <c r="E20" s="12">
        <f>2204.6*2.29*0.0023</f>
        <v>11.611628199999998</v>
      </c>
      <c r="F20" s="12">
        <f>2204.6*1.2*0.0128</f>
        <v>33.862656000000001</v>
      </c>
      <c r="G20" s="12">
        <f>2204.6*0.0014</f>
        <v>3.0864399999999996</v>
      </c>
      <c r="H20" s="24"/>
    </row>
    <row r="21" spans="2:8">
      <c r="B21" s="11" t="s">
        <v>120</v>
      </c>
      <c r="C21" s="11" t="s">
        <v>103</v>
      </c>
      <c r="D21" s="12">
        <v>39.86</v>
      </c>
      <c r="E21" s="12">
        <v>17.170000000000002</v>
      </c>
      <c r="F21" s="12">
        <v>12.43</v>
      </c>
      <c r="G21" s="12">
        <v>3.09</v>
      </c>
      <c r="H21" s="24"/>
    </row>
    <row r="22" spans="2:8">
      <c r="B22" s="11" t="s">
        <v>120</v>
      </c>
      <c r="C22" s="11" t="s">
        <v>106</v>
      </c>
      <c r="D22" s="12">
        <f>2204.6*0.045*0.16</f>
        <v>15.87312</v>
      </c>
      <c r="E22" s="12">
        <f>2204.6*2.29*0.001</f>
        <v>5.0485340000000001</v>
      </c>
      <c r="F22" s="12">
        <f>2204.6*1.2*0.0155</f>
        <v>41.005560000000003</v>
      </c>
      <c r="G22" s="12">
        <f>2204.6*0.0012</f>
        <v>2.6455199999999999</v>
      </c>
      <c r="H22" s="24"/>
    </row>
    <row r="23" spans="2:8">
      <c r="B23" s="11" t="s">
        <v>120</v>
      </c>
      <c r="C23" s="11" t="s">
        <v>104</v>
      </c>
      <c r="D23" s="12">
        <f>2204.6*0.099*0.16</f>
        <v>34.920864000000002</v>
      </c>
      <c r="E23" s="12">
        <f>2204.6*2.29*0.002</f>
        <v>10.097068</v>
      </c>
      <c r="F23" s="12">
        <f>2204.6*1.2*0.0196</f>
        <v>51.852191999999995</v>
      </c>
      <c r="G23" s="12">
        <f>2204.6*0.0019</f>
        <v>4.1887400000000001</v>
      </c>
      <c r="H23" s="24"/>
    </row>
    <row r="24" spans="2:8">
      <c r="B24" s="11" t="s">
        <v>120</v>
      </c>
      <c r="C24" s="11" t="s">
        <v>105</v>
      </c>
      <c r="D24" s="12">
        <f>2204.6*0.106*0.16</f>
        <v>37.390015999999996</v>
      </c>
      <c r="E24" s="12">
        <f>2204.6*2.29*0.0024</f>
        <v>12.116481599999998</v>
      </c>
      <c r="F24" s="12">
        <f>2204.6*1.2*0.0174</f>
        <v>46.032047999999996</v>
      </c>
      <c r="G24" s="12">
        <f>2204.6*0.0018</f>
        <v>3.9682799999999996</v>
      </c>
      <c r="H24" s="24"/>
    </row>
    <row r="25" spans="2:8">
      <c r="B25" s="11" t="s">
        <v>121</v>
      </c>
      <c r="C25" s="11" t="s">
        <v>103</v>
      </c>
      <c r="D25" s="12">
        <v>84.3</v>
      </c>
      <c r="E25" s="12">
        <v>20.190000000000001</v>
      </c>
      <c r="F25" s="12">
        <v>27.51</v>
      </c>
      <c r="G25" s="12">
        <v>4.8499999999999996</v>
      </c>
      <c r="H25" s="24"/>
    </row>
    <row r="26" spans="2:8">
      <c r="B26" s="11" t="s">
        <v>121</v>
      </c>
      <c r="C26" s="11" t="s">
        <v>106</v>
      </c>
      <c r="D26" s="12">
        <f>2204.6*0.065*0.16</f>
        <v>22.92784</v>
      </c>
      <c r="E26" s="12">
        <f>2204.6*2.29*0.0008</f>
        <v>4.0388272000000001</v>
      </c>
      <c r="F26" s="12">
        <f>2204.6*1.2*0.013</f>
        <v>34.391759999999998</v>
      </c>
      <c r="G26" s="12">
        <f>2204.6*0.0015</f>
        <v>3.3068999999999997</v>
      </c>
      <c r="H26" s="24"/>
    </row>
    <row r="27" spans="2:8">
      <c r="B27" s="11" t="s">
        <v>121</v>
      </c>
      <c r="C27" s="11" t="s">
        <v>104</v>
      </c>
      <c r="D27" s="12">
        <f>2204.6*0.14*0.16</f>
        <v>49.383040000000001</v>
      </c>
      <c r="E27" s="12">
        <f>2204.6*2.29*0.0021</f>
        <v>10.601921399999998</v>
      </c>
      <c r="F27" s="12">
        <f>2204.6*1.2*0.0128</f>
        <v>33.862656000000001</v>
      </c>
      <c r="G27" s="12">
        <f>2204.6*0.0014</f>
        <v>3.0864399999999996</v>
      </c>
      <c r="H27" s="24"/>
    </row>
    <row r="28" spans="2:8">
      <c r="B28" s="11" t="s">
        <v>121</v>
      </c>
      <c r="C28" s="11" t="s">
        <v>105</v>
      </c>
      <c r="D28" s="12">
        <f>2204.6*0.123*0.16</f>
        <v>43.386527999999998</v>
      </c>
      <c r="E28" s="12">
        <f>2204.6*2.29*0.0032</f>
        <v>16.1553088</v>
      </c>
      <c r="F28" s="12">
        <f>2204.6*1.2*0.021</f>
        <v>55.55592</v>
      </c>
      <c r="G28" s="12">
        <f>2204.6*0.0027</f>
        <v>5.95242</v>
      </c>
      <c r="H28" s="24"/>
    </row>
    <row r="29" spans="2:8">
      <c r="B29" s="11" t="s">
        <v>122</v>
      </c>
      <c r="C29" s="11" t="s">
        <v>104</v>
      </c>
      <c r="D29" s="12">
        <f>2204.6*0.088*0.16</f>
        <v>31.040768</v>
      </c>
      <c r="E29" s="12">
        <f>2204.6*2.29*0.0016</f>
        <v>8.0776544000000001</v>
      </c>
      <c r="F29" s="12">
        <f>2204.6*1.2*0.0141</f>
        <v>37.301831999999997</v>
      </c>
      <c r="G29" s="12">
        <f>2204.6*0.0014</f>
        <v>3.0864399999999996</v>
      </c>
      <c r="H29" s="24"/>
    </row>
    <row r="30" spans="2:8">
      <c r="B30" s="11" t="s">
        <v>123</v>
      </c>
      <c r="C30" s="11" t="s">
        <v>103</v>
      </c>
      <c r="D30" s="12">
        <v>55.03</v>
      </c>
      <c r="E30" s="12">
        <v>20.190000000000001</v>
      </c>
      <c r="F30" s="12">
        <v>11.11</v>
      </c>
      <c r="G30" s="12">
        <v>3.75</v>
      </c>
      <c r="H30" s="24"/>
    </row>
    <row r="31" spans="2:8">
      <c r="B31" s="11" t="s">
        <v>123</v>
      </c>
      <c r="C31" s="11" t="s">
        <v>106</v>
      </c>
      <c r="D31" s="12">
        <f>2204.6*0.039*0.16</f>
        <v>13.756703999999999</v>
      </c>
      <c r="E31" s="12">
        <f>2204.6*2.29*0.0008</f>
        <v>4.0388272000000001</v>
      </c>
      <c r="F31" s="12">
        <f>2204.6*1.2*0.014</f>
        <v>37.037280000000003</v>
      </c>
      <c r="G31" s="12">
        <f>2204.6*0.0012</f>
        <v>2.6455199999999999</v>
      </c>
      <c r="H31" s="24"/>
    </row>
    <row r="32" spans="2:8">
      <c r="B32" s="11" t="s">
        <v>123</v>
      </c>
      <c r="C32" s="11" t="s">
        <v>105</v>
      </c>
      <c r="D32" s="12">
        <f>2204.6*0.112*0.16</f>
        <v>39.506432000000004</v>
      </c>
      <c r="E32" s="12">
        <f>2204.6*2.29*0.0023</f>
        <v>11.611628199999998</v>
      </c>
      <c r="F32" s="12">
        <f>2204.6*1.2*0.0158</f>
        <v>41.799216000000001</v>
      </c>
      <c r="G32" s="12">
        <f>2204.6*0.0016</f>
        <v>3.5273599999999998</v>
      </c>
      <c r="H32" s="24"/>
    </row>
    <row r="33" spans="2:3">
      <c r="B33" s="13" t="s">
        <v>124</v>
      </c>
      <c r="C33" s="13"/>
    </row>
    <row r="34" spans="2:3">
      <c r="B34" s="14" t="s">
        <v>125</v>
      </c>
      <c r="C34" s="14"/>
    </row>
  </sheetData>
  <mergeCells count="1">
    <mergeCell ref="B2:G2"/>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e526d9-6600-41fe-ac9f-b553f9b8b298">
      <Terms xmlns="http://schemas.microsoft.com/office/infopath/2007/PartnerControls"/>
    </lcf76f155ced4ddcb4097134ff3c332f>
    <TaxCatchAll xmlns="251cae61-8135-4a88-bc5f-8b47aaccd9f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1157D3B8F73946A976B4BF8D028BA1" ma:contentTypeVersion="19" ma:contentTypeDescription="Create a new document." ma:contentTypeScope="" ma:versionID="2a705ce37d5452bae883b8c332f1d148">
  <xsd:schema xmlns:xsd="http://www.w3.org/2001/XMLSchema" xmlns:xs="http://www.w3.org/2001/XMLSchema" xmlns:p="http://schemas.microsoft.com/office/2006/metadata/properties" xmlns:ns2="4de526d9-6600-41fe-ac9f-b553f9b8b298" xmlns:ns3="251cae61-8135-4a88-bc5f-8b47aaccd9f5" targetNamespace="http://schemas.microsoft.com/office/2006/metadata/properties" ma:root="true" ma:fieldsID="3e9fbdc7c70dc0caceaacef92afc51e1" ns2:_="" ns3:_="">
    <xsd:import namespace="4de526d9-6600-41fe-ac9f-b553f9b8b298"/>
    <xsd:import namespace="251cae61-8135-4a88-bc5f-8b47aaccd9f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e526d9-6600-41fe-ac9f-b553f9b8b2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8d63e09-3cba-41a6-87ff-e4099718127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1cae61-8135-4a88-bc5f-8b47aaccd9f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d2ea1c9-9b27-45a1-b808-2172d706383a}" ma:internalName="TaxCatchAll" ma:showField="CatchAllData" ma:web="251cae61-8135-4a88-bc5f-8b47aaccd9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286E37-222D-4424-949E-D8D63C591B9A}"/>
</file>

<file path=customXml/itemProps2.xml><?xml version="1.0" encoding="utf-8"?>
<ds:datastoreItem xmlns:ds="http://schemas.openxmlformats.org/officeDocument/2006/customXml" ds:itemID="{80296AF0-41DE-4CDC-9B39-E4DFA9DD63D5}"/>
</file>

<file path=customXml/itemProps3.xml><?xml version="1.0" encoding="utf-8"?>
<ds:datastoreItem xmlns:ds="http://schemas.openxmlformats.org/officeDocument/2006/customXml" ds:itemID="{DFCAAF51-506E-4CEC-9546-45202A1389C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Brenna Grant</dc:creator>
  <cp:keywords/>
  <dc:description/>
  <cp:lastModifiedBy/>
  <cp:revision/>
  <dcterms:created xsi:type="dcterms:W3CDTF">2021-07-18T21:03:06Z</dcterms:created>
  <dcterms:modified xsi:type="dcterms:W3CDTF">2026-07-07T21:43:26Z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0x0101005A1157D3B8F73946A976B4BF8D028BA1</vt:lpwstr>
  </property>
  <property fmtid="{D5CDD505-2E9C-101B-9397-08002B2CF9AE}" pid="3" name="MediaServiceImageTags">
    <vt:lpwstr/>
  </property>
  <property fmtid="{D5CDD505-2E9C-101B-9397-08002B2CF9AE}" pid="4" name="Order">
    <vt:r8>74600</vt:r8>
  </property>
  <property fmtid="{D5CDD505-2E9C-101B-9397-08002B2CF9AE}" pid="5" name="_ExtendedDescription">
    <vt:lpwstr/>
  </property>
  <property fmtid="{D5CDD505-2E9C-101B-9397-08002B2CF9AE}" pid="6" name="TriggerFlowInfo">
    <vt:lpwstr/>
  </property>
  <property fmtid="{D5CDD505-2E9C-101B-9397-08002B2CF9AE}" pid="7" name="ComplianceAssetId">
    <vt:lpwstr/>
  </property>
</Properties>
</file>